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jarroyo\Documents\_Personal\"/>
    </mc:Choice>
  </mc:AlternateContent>
  <xr:revisionPtr revIDLastSave="0" documentId="13_ncr:1_{DF539D26-3E9D-44C7-A36A-1783FD7BF9B4}" xr6:coauthVersionLast="45" xr6:coauthVersionMax="45" xr10:uidLastSave="{00000000-0000-0000-0000-000000000000}"/>
  <workbookProtection workbookAlgorithmName="SHA-512" workbookHashValue="1lKJ2DN65Mh108zEkmffwFpT1MpWqUMXqrfWHMhPEmePmkNJFkfeYv/bgJAtdW8+BZazrjW+38dQjiTPZvydBg==" workbookSaltValue="0rqKi/iMYkYkbalBkfklxQ==" workbookSpinCount="100000" lockStructure="1"/>
  <bookViews>
    <workbookView xWindow="-120" yWindow="-120" windowWidth="38640" windowHeight="21240" xr2:uid="{00000000-000D-0000-FFFF-FFFF00000000}"/>
  </bookViews>
  <sheets>
    <sheet name="Notas" sheetId="7" r:id="rId1"/>
    <sheet name="NPK" sheetId="5" r:id="rId2"/>
    <sheet name="kH" sheetId="2" r:id="rId3"/>
    <sheet name="gH" sheetId="3" r:id="rId4"/>
    <sheet name="Solubilidad" sheetId="6" state="hidden"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31" i="7" l="1"/>
  <c r="D29" i="3"/>
  <c r="D28" i="3"/>
  <c r="M26" i="2"/>
  <c r="R24" i="7" s="1"/>
  <c r="R29" i="7"/>
  <c r="R15" i="7"/>
  <c r="R14" i="7"/>
  <c r="R13" i="7"/>
  <c r="R23" i="7"/>
  <c r="Q35" i="7"/>
  <c r="Q34" i="7"/>
  <c r="N28" i="7"/>
  <c r="R26" i="7"/>
  <c r="N22" i="7"/>
  <c r="R30" i="7" l="1"/>
  <c r="Q10" i="7"/>
  <c r="K24" i="5"/>
  <c r="M6" i="3" l="1"/>
  <c r="M6" i="2"/>
  <c r="P3" i="6"/>
  <c r="O8" i="6" s="1"/>
  <c r="P8" i="6" s="1"/>
  <c r="M22" i="2" s="1"/>
  <c r="C11" i="6"/>
  <c r="D11" i="6"/>
  <c r="F11" i="6"/>
  <c r="G11" i="6"/>
  <c r="H11" i="6"/>
  <c r="I11" i="6"/>
  <c r="J11" i="6"/>
  <c r="K11" i="6"/>
  <c r="L11" i="6"/>
  <c r="M11" i="6"/>
  <c r="B11" i="6"/>
  <c r="O9" i="6" l="1"/>
  <c r="O11" i="6"/>
  <c r="O5" i="6"/>
  <c r="P5" i="6" s="1"/>
  <c r="O6" i="6"/>
  <c r="P6" i="6" s="1"/>
  <c r="O7" i="6"/>
  <c r="P7" i="6" s="1"/>
  <c r="Q13" i="5" s="1"/>
  <c r="K14" i="5"/>
  <c r="E13" i="5" l="1"/>
  <c r="K15" i="5"/>
  <c r="K13" i="5"/>
  <c r="P11" i="6"/>
  <c r="L27" i="3" s="1"/>
  <c r="P9" i="6"/>
  <c r="L24" i="3" s="1"/>
  <c r="D26" i="3"/>
  <c r="E24" i="2"/>
  <c r="Q24" i="5" l="1"/>
  <c r="E26" i="5"/>
  <c r="Q14" i="5" l="1"/>
  <c r="Q15" i="5" s="1"/>
  <c r="K17" i="5"/>
  <c r="E14" i="5"/>
  <c r="E17" i="5" l="1"/>
  <c r="E15" i="5"/>
  <c r="Q17" i="5"/>
  <c r="K26" i="5"/>
  <c r="E16" i="5"/>
  <c r="Q34" i="5" s="1"/>
  <c r="Q18" i="7" s="1"/>
  <c r="E25" i="5"/>
  <c r="E27" i="5" s="1"/>
  <c r="K16" i="5"/>
  <c r="Q16" i="5"/>
  <c r="Q35" i="5" l="1"/>
  <c r="Q19" i="7" s="1"/>
  <c r="K25" i="5"/>
  <c r="K27" i="5" s="1"/>
  <c r="L16" i="3"/>
  <c r="E16" i="3"/>
  <c r="E17" i="3" s="1"/>
  <c r="L17" i="3" l="1"/>
  <c r="L18" i="3" s="1"/>
  <c r="L28" i="3" s="1"/>
  <c r="L29" i="3" s="1"/>
  <c r="E18" i="3"/>
  <c r="L25" i="3" s="1"/>
  <c r="L26" i="3" s="1"/>
  <c r="M16" i="2"/>
  <c r="E19" i="3" l="1"/>
  <c r="L19" i="3"/>
  <c r="M23" i="2"/>
  <c r="M24" i="2" s="1"/>
  <c r="F16" i="2"/>
  <c r="M17" i="2" s="1"/>
  <c r="F17" i="2" l="1"/>
  <c r="H35" i="5" l="1"/>
  <c r="H36" i="5" s="1"/>
  <c r="Q27" i="5" l="1"/>
  <c r="D37" i="5" s="1"/>
  <c r="Q26" i="5" l="1"/>
  <c r="Q36" i="5"/>
  <c r="Q20" i="7" s="1"/>
  <c r="Q25" i="5"/>
</calcChain>
</file>

<file path=xl/sharedStrings.xml><?xml version="1.0" encoding="utf-8"?>
<sst xmlns="http://schemas.openxmlformats.org/spreadsheetml/2006/main" count="281" uniqueCount="174">
  <si>
    <t>ml</t>
  </si>
  <si>
    <t>mg/l</t>
  </si>
  <si>
    <t>Volumen Disolución</t>
  </si>
  <si>
    <t>Datos de partida</t>
  </si>
  <si>
    <t>Volumen de agua a tratar:</t>
  </si>
  <si>
    <t>l</t>
  </si>
  <si>
    <t>GH inicial del agua:</t>
  </si>
  <si>
    <t>dH</t>
  </si>
  <si>
    <t>GH final deseado:</t>
  </si>
  <si>
    <t>:</t>
  </si>
  <si>
    <t>Sulfato de Magnesio heptahidratado</t>
  </si>
  <si>
    <t>Error solubilidad de Calcio:</t>
  </si>
  <si>
    <t>Error solubilidad de Magnesio:</t>
  </si>
  <si>
    <t>Dosis a aditar:</t>
  </si>
  <si>
    <t>KH inicial del agua:</t>
  </si>
  <si>
    <t>KH final deseado:</t>
  </si>
  <si>
    <t>Error solubilidad:</t>
  </si>
  <si>
    <t>g</t>
  </si>
  <si>
    <t>g/l</t>
  </si>
  <si>
    <t xml:space="preserve">Proporción de Ca:Mg </t>
  </si>
  <si>
    <r>
      <t>K</t>
    </r>
    <r>
      <rPr>
        <vertAlign val="superscript"/>
        <sz val="11"/>
        <rFont val="Tahoma"/>
        <family val="2"/>
      </rPr>
      <t>+</t>
    </r>
    <r>
      <rPr>
        <sz val="11"/>
        <rFont val="Tahoma"/>
        <family val="2"/>
      </rPr>
      <t xml:space="preserve"> en disolución:</t>
    </r>
  </si>
  <si>
    <t>con sales de Bicarbonato de Potasio</t>
  </si>
  <si>
    <t>Calculadora de KH</t>
  </si>
  <si>
    <t>Concentraciones requeridas de la sal</t>
  </si>
  <si>
    <t>Bicarbonato de Potasio en disolución:</t>
  </si>
  <si>
    <t>Calculador de disolución</t>
  </si>
  <si>
    <t>Frecuencia de cambio:</t>
  </si>
  <si>
    <t>Volumen Disolución:</t>
  </si>
  <si>
    <r>
      <t>KHCO</t>
    </r>
    <r>
      <rPr>
        <b/>
        <vertAlign val="subscript"/>
        <sz val="11"/>
        <color theme="0"/>
        <rFont val="Tahoma"/>
        <family val="2"/>
      </rPr>
      <t>3</t>
    </r>
  </si>
  <si>
    <t xml:space="preserve">cada </t>
  </si>
  <si>
    <t>dias</t>
  </si>
  <si>
    <t>Calculadora de GH</t>
  </si>
  <si>
    <r>
      <t>CaCl</t>
    </r>
    <r>
      <rPr>
        <b/>
        <vertAlign val="subscript"/>
        <sz val="11"/>
        <color theme="0"/>
        <rFont val="Tahoma"/>
        <family val="2"/>
      </rPr>
      <t>2</t>
    </r>
  </si>
  <si>
    <r>
      <t>MgSO</t>
    </r>
    <r>
      <rPr>
        <b/>
        <vertAlign val="subscript"/>
        <sz val="11"/>
        <color theme="0"/>
        <rFont val="Tahoma"/>
        <family val="2"/>
      </rPr>
      <t>4</t>
    </r>
    <r>
      <rPr>
        <b/>
        <sz val="11"/>
        <color theme="0"/>
        <rFont val="Tahoma"/>
        <family val="2"/>
      </rPr>
      <t>·7H</t>
    </r>
    <r>
      <rPr>
        <b/>
        <vertAlign val="subscript"/>
        <sz val="11"/>
        <color theme="0"/>
        <rFont val="Tahoma"/>
        <family val="2"/>
      </rPr>
      <t>2</t>
    </r>
    <r>
      <rPr>
        <b/>
        <sz val="11"/>
        <color theme="0"/>
        <rFont val="Tahoma"/>
        <family val="2"/>
      </rPr>
      <t>O</t>
    </r>
  </si>
  <si>
    <t>con sales de Cloruro de Calcio y</t>
  </si>
  <si>
    <r>
      <t>CaCl</t>
    </r>
    <r>
      <rPr>
        <vertAlign val="subscript"/>
        <sz val="11"/>
        <rFont val="Tahoma"/>
        <family val="2"/>
      </rPr>
      <t>2</t>
    </r>
    <r>
      <rPr>
        <sz val="11"/>
        <rFont val="Tahoma"/>
        <family val="2"/>
      </rPr>
      <t xml:space="preserve"> en disolución:</t>
    </r>
  </si>
  <si>
    <r>
      <t>MgSO</t>
    </r>
    <r>
      <rPr>
        <vertAlign val="subscript"/>
        <sz val="11"/>
        <rFont val="Tahoma"/>
        <family val="2"/>
      </rPr>
      <t>4</t>
    </r>
    <r>
      <rPr>
        <sz val="11"/>
        <rFont val="Tahoma"/>
        <family val="2"/>
      </rPr>
      <t>·7H</t>
    </r>
    <r>
      <rPr>
        <vertAlign val="subscript"/>
        <sz val="11"/>
        <rFont val="Tahoma"/>
        <family val="2"/>
      </rPr>
      <t>2</t>
    </r>
    <r>
      <rPr>
        <sz val="11"/>
        <rFont val="Tahoma"/>
        <family val="2"/>
      </rPr>
      <t>O en disolución:</t>
    </r>
  </si>
  <si>
    <r>
      <t>CaCl</t>
    </r>
    <r>
      <rPr>
        <vertAlign val="subscript"/>
        <sz val="11"/>
        <rFont val="Tahoma"/>
        <family val="2"/>
      </rPr>
      <t>2</t>
    </r>
    <r>
      <rPr>
        <sz val="11"/>
        <rFont val="Tahoma"/>
        <family val="2"/>
      </rPr>
      <t xml:space="preserve"> a añadir:</t>
    </r>
  </si>
  <si>
    <r>
      <t>MgSO</t>
    </r>
    <r>
      <rPr>
        <vertAlign val="subscript"/>
        <sz val="11"/>
        <rFont val="Tahoma"/>
        <family val="2"/>
      </rPr>
      <t>4</t>
    </r>
    <r>
      <rPr>
        <sz val="11"/>
        <rFont val="Tahoma"/>
        <family val="2"/>
      </rPr>
      <t>·7H</t>
    </r>
    <r>
      <rPr>
        <vertAlign val="subscript"/>
        <sz val="11"/>
        <rFont val="Tahoma"/>
        <family val="2"/>
      </rPr>
      <t>2</t>
    </r>
    <r>
      <rPr>
        <sz val="11"/>
        <rFont val="Tahoma"/>
        <family val="2"/>
      </rPr>
      <t>O a añadir:</t>
    </r>
  </si>
  <si>
    <t>Volumen de la Disolución:</t>
  </si>
  <si>
    <t>(Nota: la proporción en agua natural se encuentra normalmente entre 3:1 y 6:1)</t>
  </si>
  <si>
    <r>
      <t>Concentración KNO</t>
    </r>
    <r>
      <rPr>
        <vertAlign val="subscript"/>
        <sz val="11"/>
        <color theme="1"/>
        <rFont val="Tahoma"/>
        <family val="2"/>
      </rPr>
      <t>3</t>
    </r>
  </si>
  <si>
    <r>
      <t>Concentración KH</t>
    </r>
    <r>
      <rPr>
        <vertAlign val="subscript"/>
        <sz val="11"/>
        <color theme="1"/>
        <rFont val="Tahoma"/>
        <family val="2"/>
      </rPr>
      <t>2</t>
    </r>
    <r>
      <rPr>
        <sz val="11"/>
        <color theme="1"/>
        <rFont val="Tahoma"/>
        <family val="2"/>
      </rPr>
      <t>PO</t>
    </r>
    <r>
      <rPr>
        <vertAlign val="subscript"/>
        <sz val="11"/>
        <color theme="1"/>
        <rFont val="Tahoma"/>
        <family val="2"/>
      </rPr>
      <t>4</t>
    </r>
  </si>
  <si>
    <r>
      <t>Concentración K</t>
    </r>
    <r>
      <rPr>
        <vertAlign val="subscript"/>
        <sz val="11"/>
        <color theme="1"/>
        <rFont val="Tahoma"/>
        <family val="2"/>
      </rPr>
      <t>2</t>
    </r>
    <r>
      <rPr>
        <sz val="11"/>
        <color theme="1"/>
        <rFont val="Tahoma"/>
        <family val="2"/>
      </rPr>
      <t>SO</t>
    </r>
    <r>
      <rPr>
        <vertAlign val="subscript"/>
        <sz val="11"/>
        <color theme="1"/>
        <rFont val="Tahoma"/>
        <family val="2"/>
      </rPr>
      <t>4</t>
    </r>
  </si>
  <si>
    <r>
      <t>Disolución POTASIO (K</t>
    </r>
    <r>
      <rPr>
        <b/>
        <vertAlign val="subscript"/>
        <sz val="11"/>
        <rFont val="Tahoma"/>
        <family val="2"/>
      </rPr>
      <t>2</t>
    </r>
    <r>
      <rPr>
        <b/>
        <sz val="11"/>
        <rFont val="Tahoma"/>
        <family val="2"/>
      </rPr>
      <t>SO</t>
    </r>
    <r>
      <rPr>
        <b/>
        <vertAlign val="subscript"/>
        <sz val="11"/>
        <rFont val="Tahoma"/>
        <family val="2"/>
      </rPr>
      <t>4</t>
    </r>
    <r>
      <rPr>
        <b/>
        <sz val="11"/>
        <rFont val="Tahoma"/>
        <family val="2"/>
      </rPr>
      <t>)</t>
    </r>
  </si>
  <si>
    <r>
      <t>Sal de KNO</t>
    </r>
    <r>
      <rPr>
        <b/>
        <vertAlign val="subscript"/>
        <sz val="11"/>
        <rFont val="Tahoma"/>
        <family val="2"/>
      </rPr>
      <t>3</t>
    </r>
  </si>
  <si>
    <r>
      <t>Concentración NO</t>
    </r>
    <r>
      <rPr>
        <vertAlign val="subscript"/>
        <sz val="11"/>
        <color theme="1"/>
        <rFont val="Tahoma"/>
        <family val="2"/>
      </rPr>
      <t>3</t>
    </r>
    <r>
      <rPr>
        <vertAlign val="superscript"/>
        <sz val="11"/>
        <rFont val="Tahoma"/>
        <family val="2"/>
      </rPr>
      <t>-</t>
    </r>
  </si>
  <si>
    <r>
      <t>Concentración PO</t>
    </r>
    <r>
      <rPr>
        <vertAlign val="subscript"/>
        <sz val="11"/>
        <color theme="1"/>
        <rFont val="Tahoma"/>
        <family val="2"/>
      </rPr>
      <t>4</t>
    </r>
    <r>
      <rPr>
        <vertAlign val="superscript"/>
        <sz val="11"/>
        <rFont val="Tahoma"/>
        <family val="2"/>
      </rPr>
      <t>3-</t>
    </r>
  </si>
  <si>
    <r>
      <t>Concentración SO</t>
    </r>
    <r>
      <rPr>
        <vertAlign val="subscript"/>
        <sz val="11"/>
        <color theme="1"/>
        <rFont val="Tahoma"/>
        <family val="2"/>
      </rPr>
      <t>4</t>
    </r>
    <r>
      <rPr>
        <vertAlign val="superscript"/>
        <sz val="11"/>
        <rFont val="Tahoma"/>
        <family val="2"/>
      </rPr>
      <t>2-</t>
    </r>
  </si>
  <si>
    <r>
      <t>Concentración K</t>
    </r>
    <r>
      <rPr>
        <vertAlign val="superscript"/>
        <sz val="11"/>
        <rFont val="Tahoma"/>
        <family val="2"/>
      </rPr>
      <t>+</t>
    </r>
  </si>
  <si>
    <r>
      <t>Concentración K</t>
    </r>
    <r>
      <rPr>
        <vertAlign val="superscript"/>
        <sz val="11"/>
        <rFont val="Tahoma"/>
        <family val="2"/>
      </rPr>
      <t>2+</t>
    </r>
  </si>
  <si>
    <r>
      <t>Disolución NITRATO (KNO</t>
    </r>
    <r>
      <rPr>
        <b/>
        <vertAlign val="subscript"/>
        <sz val="11"/>
        <rFont val="Tahoma"/>
        <family val="2"/>
      </rPr>
      <t>3</t>
    </r>
    <r>
      <rPr>
        <b/>
        <sz val="11"/>
        <rFont val="Tahoma"/>
        <family val="2"/>
      </rPr>
      <t>)</t>
    </r>
  </si>
  <si>
    <t>DISOLUCIONES</t>
  </si>
  <si>
    <r>
      <t>NO</t>
    </r>
    <r>
      <rPr>
        <b/>
        <vertAlign val="subscript"/>
        <sz val="11"/>
        <rFont val="Tahoma"/>
        <family val="2"/>
      </rPr>
      <t>3</t>
    </r>
    <r>
      <rPr>
        <b/>
        <vertAlign val="superscript"/>
        <sz val="11"/>
        <rFont val="Tahoma"/>
        <family val="2"/>
      </rPr>
      <t>-</t>
    </r>
    <r>
      <rPr>
        <b/>
        <sz val="11"/>
        <rFont val="Tahoma"/>
        <family val="2"/>
      </rPr>
      <t xml:space="preserve"> existente</t>
    </r>
  </si>
  <si>
    <r>
      <t>NO</t>
    </r>
    <r>
      <rPr>
        <b/>
        <vertAlign val="subscript"/>
        <sz val="11"/>
        <rFont val="Tahoma"/>
        <family val="2"/>
      </rPr>
      <t>3</t>
    </r>
    <r>
      <rPr>
        <b/>
        <vertAlign val="superscript"/>
        <sz val="11"/>
        <rFont val="Tahoma"/>
        <family val="2"/>
      </rPr>
      <t>-</t>
    </r>
    <r>
      <rPr>
        <b/>
        <sz val="11"/>
        <rFont val="Tahoma"/>
        <family val="2"/>
      </rPr>
      <t>deseada</t>
    </r>
  </si>
  <si>
    <r>
      <t>KNO</t>
    </r>
    <r>
      <rPr>
        <vertAlign val="subscript"/>
        <sz val="11"/>
        <color theme="1"/>
        <rFont val="Tahoma"/>
        <family val="2"/>
      </rPr>
      <t>3</t>
    </r>
  </si>
  <si>
    <r>
      <t>NO</t>
    </r>
    <r>
      <rPr>
        <vertAlign val="subscript"/>
        <sz val="11"/>
        <color theme="1"/>
        <rFont val="Tahoma"/>
        <family val="2"/>
      </rPr>
      <t>3</t>
    </r>
    <r>
      <rPr>
        <vertAlign val="superscript"/>
        <sz val="11"/>
        <rFont val="Tahoma"/>
        <family val="2"/>
      </rPr>
      <t>-</t>
    </r>
  </si>
  <si>
    <r>
      <t>K</t>
    </r>
    <r>
      <rPr>
        <vertAlign val="superscript"/>
        <sz val="11"/>
        <rFont val="Tahoma"/>
        <family val="2"/>
      </rPr>
      <t>+</t>
    </r>
    <r>
      <rPr>
        <sz val="11"/>
        <rFont val="Tahoma"/>
        <family val="2"/>
      </rPr>
      <t xml:space="preserve"> por KNO</t>
    </r>
    <r>
      <rPr>
        <vertAlign val="subscript"/>
        <sz val="11"/>
        <rFont val="Tahoma"/>
        <family val="2"/>
      </rPr>
      <t>3</t>
    </r>
  </si>
  <si>
    <r>
      <t>NITRATO (KNO</t>
    </r>
    <r>
      <rPr>
        <b/>
        <vertAlign val="subscript"/>
        <sz val="11"/>
        <rFont val="Tahoma"/>
        <family val="2"/>
      </rPr>
      <t>3</t>
    </r>
    <r>
      <rPr>
        <b/>
        <sz val="11"/>
        <rFont val="Tahoma"/>
        <family val="2"/>
      </rPr>
      <t>)</t>
    </r>
  </si>
  <si>
    <r>
      <t>PO</t>
    </r>
    <r>
      <rPr>
        <b/>
        <vertAlign val="subscript"/>
        <sz val="11"/>
        <rFont val="Tahoma"/>
        <family val="2"/>
      </rPr>
      <t>4</t>
    </r>
    <r>
      <rPr>
        <b/>
        <vertAlign val="superscript"/>
        <sz val="11"/>
        <rFont val="Tahoma"/>
        <family val="2"/>
      </rPr>
      <t>3-</t>
    </r>
    <r>
      <rPr>
        <b/>
        <sz val="11"/>
        <rFont val="Tahoma"/>
        <family val="2"/>
      </rPr>
      <t xml:space="preserve"> existente</t>
    </r>
  </si>
  <si>
    <r>
      <t>PO</t>
    </r>
    <r>
      <rPr>
        <b/>
        <vertAlign val="subscript"/>
        <sz val="11"/>
        <rFont val="Tahoma"/>
        <family val="2"/>
      </rPr>
      <t>4</t>
    </r>
    <r>
      <rPr>
        <b/>
        <vertAlign val="superscript"/>
        <sz val="11"/>
        <rFont val="Tahoma"/>
        <family val="2"/>
      </rPr>
      <t>3-</t>
    </r>
    <r>
      <rPr>
        <b/>
        <sz val="11"/>
        <rFont val="Tahoma"/>
        <family val="2"/>
      </rPr>
      <t xml:space="preserve"> deseada</t>
    </r>
  </si>
  <si>
    <r>
      <t>KH</t>
    </r>
    <r>
      <rPr>
        <vertAlign val="subscript"/>
        <sz val="11"/>
        <color theme="1"/>
        <rFont val="Tahoma"/>
        <family val="2"/>
      </rPr>
      <t>2</t>
    </r>
    <r>
      <rPr>
        <sz val="11"/>
        <color theme="1"/>
        <rFont val="Tahoma"/>
        <family val="2"/>
      </rPr>
      <t>PO</t>
    </r>
    <r>
      <rPr>
        <vertAlign val="subscript"/>
        <sz val="11"/>
        <color theme="1"/>
        <rFont val="Tahoma"/>
        <family val="2"/>
      </rPr>
      <t>4</t>
    </r>
  </si>
  <si>
    <r>
      <t>PO</t>
    </r>
    <r>
      <rPr>
        <vertAlign val="subscript"/>
        <sz val="11"/>
        <color theme="1"/>
        <rFont val="Tahoma"/>
        <family val="2"/>
      </rPr>
      <t>4</t>
    </r>
    <r>
      <rPr>
        <vertAlign val="superscript"/>
        <sz val="11"/>
        <rFont val="Tahoma"/>
        <family val="2"/>
      </rPr>
      <t>3-</t>
    </r>
  </si>
  <si>
    <r>
      <t>K</t>
    </r>
    <r>
      <rPr>
        <vertAlign val="superscript"/>
        <sz val="11"/>
        <rFont val="Tahoma"/>
        <family val="2"/>
      </rPr>
      <t xml:space="preserve">+ </t>
    </r>
    <r>
      <rPr>
        <sz val="11"/>
        <rFont val="Tahoma"/>
        <family val="2"/>
      </rPr>
      <t>por KH</t>
    </r>
    <r>
      <rPr>
        <vertAlign val="subscript"/>
        <sz val="11"/>
        <rFont val="Tahoma"/>
        <family val="2"/>
      </rPr>
      <t>2</t>
    </r>
    <r>
      <rPr>
        <sz val="11"/>
        <rFont val="Tahoma"/>
        <family val="2"/>
      </rPr>
      <t>PO</t>
    </r>
    <r>
      <rPr>
        <vertAlign val="subscript"/>
        <sz val="11"/>
        <rFont val="Tahoma"/>
        <family val="2"/>
      </rPr>
      <t>4</t>
    </r>
  </si>
  <si>
    <r>
      <t>Sal de KH</t>
    </r>
    <r>
      <rPr>
        <vertAlign val="subscript"/>
        <sz val="11"/>
        <rFont val="Tahoma"/>
        <family val="2"/>
      </rPr>
      <t>2</t>
    </r>
    <r>
      <rPr>
        <sz val="11"/>
        <rFont val="Tahoma"/>
        <family val="2"/>
      </rPr>
      <t>PO</t>
    </r>
    <r>
      <rPr>
        <vertAlign val="subscript"/>
        <sz val="11"/>
        <rFont val="Tahoma"/>
        <family val="2"/>
      </rPr>
      <t>4</t>
    </r>
  </si>
  <si>
    <r>
      <t>Sal de K</t>
    </r>
    <r>
      <rPr>
        <vertAlign val="subscript"/>
        <sz val="11"/>
        <rFont val="Tahoma"/>
        <family val="2"/>
      </rPr>
      <t>2</t>
    </r>
    <r>
      <rPr>
        <sz val="11"/>
        <rFont val="Tahoma"/>
        <family val="2"/>
      </rPr>
      <t>SO</t>
    </r>
    <r>
      <rPr>
        <vertAlign val="subscript"/>
        <sz val="11"/>
        <rFont val="Tahoma"/>
        <family val="2"/>
      </rPr>
      <t>4</t>
    </r>
  </si>
  <si>
    <r>
      <t>POTASIO (K</t>
    </r>
    <r>
      <rPr>
        <b/>
        <vertAlign val="subscript"/>
        <sz val="11"/>
        <rFont val="Tahoma"/>
        <family val="2"/>
      </rPr>
      <t>2</t>
    </r>
    <r>
      <rPr>
        <b/>
        <sz val="11"/>
        <rFont val="Tahoma"/>
        <family val="2"/>
      </rPr>
      <t>SO</t>
    </r>
    <r>
      <rPr>
        <b/>
        <vertAlign val="subscript"/>
        <sz val="11"/>
        <rFont val="Tahoma"/>
        <family val="2"/>
      </rPr>
      <t>4</t>
    </r>
    <r>
      <rPr>
        <b/>
        <sz val="11"/>
        <rFont val="Tahoma"/>
        <family val="2"/>
      </rPr>
      <t>)</t>
    </r>
  </si>
  <si>
    <r>
      <t>K</t>
    </r>
    <r>
      <rPr>
        <b/>
        <vertAlign val="superscript"/>
        <sz val="11"/>
        <rFont val="Tahoma"/>
        <family val="2"/>
      </rPr>
      <t>+</t>
    </r>
    <r>
      <rPr>
        <b/>
        <sz val="11"/>
        <rFont val="Tahoma"/>
        <family val="2"/>
      </rPr>
      <t xml:space="preserve"> existente</t>
    </r>
  </si>
  <si>
    <r>
      <t>K</t>
    </r>
    <r>
      <rPr>
        <b/>
        <vertAlign val="superscript"/>
        <sz val="11"/>
        <rFont val="Tahoma"/>
        <family val="2"/>
      </rPr>
      <t>+</t>
    </r>
    <r>
      <rPr>
        <b/>
        <sz val="11"/>
        <rFont val="Tahoma"/>
        <family val="2"/>
      </rPr>
      <t xml:space="preserve"> deseada</t>
    </r>
  </si>
  <si>
    <r>
      <t>K</t>
    </r>
    <r>
      <rPr>
        <vertAlign val="subscript"/>
        <sz val="11"/>
        <color theme="1"/>
        <rFont val="Tahoma"/>
        <family val="2"/>
      </rPr>
      <t>2</t>
    </r>
    <r>
      <rPr>
        <sz val="11"/>
        <color theme="1"/>
        <rFont val="Tahoma"/>
        <family val="2"/>
      </rPr>
      <t>SO</t>
    </r>
    <r>
      <rPr>
        <vertAlign val="subscript"/>
        <sz val="11"/>
        <color theme="1"/>
        <rFont val="Tahoma"/>
        <family val="2"/>
      </rPr>
      <t>4</t>
    </r>
  </si>
  <si>
    <r>
      <t>SO</t>
    </r>
    <r>
      <rPr>
        <vertAlign val="subscript"/>
        <sz val="11"/>
        <color theme="1"/>
        <rFont val="Tahoma"/>
        <family val="2"/>
      </rPr>
      <t>4</t>
    </r>
    <r>
      <rPr>
        <vertAlign val="superscript"/>
        <sz val="11"/>
        <rFont val="Tahoma"/>
        <family val="2"/>
      </rPr>
      <t>2-</t>
    </r>
  </si>
  <si>
    <r>
      <t>K</t>
    </r>
    <r>
      <rPr>
        <vertAlign val="superscript"/>
        <sz val="11"/>
        <rFont val="Tahoma"/>
        <family val="2"/>
      </rPr>
      <t xml:space="preserve">2+ </t>
    </r>
    <r>
      <rPr>
        <sz val="11"/>
        <rFont val="Tahoma"/>
        <family val="2"/>
      </rPr>
      <t>por K</t>
    </r>
    <r>
      <rPr>
        <vertAlign val="subscript"/>
        <sz val="11"/>
        <rFont val="Tahoma"/>
        <family val="2"/>
      </rPr>
      <t>2</t>
    </r>
    <r>
      <rPr>
        <sz val="11"/>
        <rFont val="Tahoma"/>
        <family val="2"/>
      </rPr>
      <t>SO</t>
    </r>
    <r>
      <rPr>
        <vertAlign val="subscript"/>
        <sz val="11"/>
        <rFont val="Tahoma"/>
        <family val="2"/>
      </rPr>
      <t>4</t>
    </r>
  </si>
  <si>
    <t>CONCENTRACIONES EN EL ACUARIO</t>
  </si>
  <si>
    <t>VOLUMEN DE DISOLUCIONES A AÑADIR EN EL ACUARIO</t>
  </si>
  <si>
    <t>litros</t>
  </si>
  <si>
    <t>VOLUMEN NETO ACUARIO:</t>
  </si>
  <si>
    <r>
      <t>Disolución FOSFATO ( KH</t>
    </r>
    <r>
      <rPr>
        <b/>
        <vertAlign val="subscript"/>
        <sz val="11"/>
        <rFont val="Tahoma"/>
        <family val="2"/>
      </rPr>
      <t>2</t>
    </r>
    <r>
      <rPr>
        <b/>
        <sz val="11"/>
        <rFont val="Tahoma"/>
        <family val="2"/>
      </rPr>
      <t>PO</t>
    </r>
    <r>
      <rPr>
        <b/>
        <vertAlign val="subscript"/>
        <sz val="11"/>
        <rFont val="Tahoma"/>
        <family val="2"/>
      </rPr>
      <t>4</t>
    </r>
    <r>
      <rPr>
        <b/>
        <sz val="11"/>
        <rFont val="Tahoma"/>
        <family val="2"/>
      </rPr>
      <t>)</t>
    </r>
  </si>
  <si>
    <t>Cálculo de Disoluciones y
 Dosificación de sales NPK</t>
  </si>
  <si>
    <r>
      <t xml:space="preserve"> Nitrato (KNO</t>
    </r>
    <r>
      <rPr>
        <vertAlign val="subscript"/>
        <sz val="11"/>
        <rFont val="Tahoma"/>
        <family val="2"/>
      </rPr>
      <t>3</t>
    </r>
    <r>
      <rPr>
        <sz val="11"/>
        <rFont val="Tahoma"/>
        <family val="2"/>
      </rPr>
      <t>):</t>
    </r>
  </si>
  <si>
    <r>
      <t>Fosfato (KH</t>
    </r>
    <r>
      <rPr>
        <vertAlign val="subscript"/>
        <sz val="11"/>
        <rFont val="Tahoma"/>
        <family val="2"/>
      </rPr>
      <t>2</t>
    </r>
    <r>
      <rPr>
        <sz val="11"/>
        <rFont val="Tahoma"/>
        <family val="2"/>
      </rPr>
      <t>PO</t>
    </r>
    <r>
      <rPr>
        <vertAlign val="subscript"/>
        <sz val="11"/>
        <rFont val="Tahoma"/>
        <family val="2"/>
      </rPr>
      <t>4</t>
    </r>
    <r>
      <rPr>
        <sz val="11"/>
        <rFont val="Tahoma"/>
        <family val="2"/>
      </rPr>
      <t>):</t>
    </r>
  </si>
  <si>
    <r>
      <t>FOSFATO (KH</t>
    </r>
    <r>
      <rPr>
        <b/>
        <vertAlign val="subscript"/>
        <sz val="11"/>
        <rFont val="Tahoma"/>
        <family val="2"/>
      </rPr>
      <t>2</t>
    </r>
    <r>
      <rPr>
        <b/>
        <sz val="11"/>
        <rFont val="Tahoma"/>
        <family val="2"/>
      </rPr>
      <t>PO</t>
    </r>
    <r>
      <rPr>
        <b/>
        <vertAlign val="subscript"/>
        <sz val="11"/>
        <rFont val="Tahoma"/>
        <family val="2"/>
      </rPr>
      <t>4</t>
    </r>
    <r>
      <rPr>
        <b/>
        <sz val="11"/>
        <rFont val="Tahoma"/>
        <family val="2"/>
      </rPr>
      <t>)</t>
    </r>
  </si>
  <si>
    <r>
      <t>Potasio (K</t>
    </r>
    <r>
      <rPr>
        <vertAlign val="subscript"/>
        <sz val="11"/>
        <rFont val="Tahoma"/>
        <family val="2"/>
      </rPr>
      <t>2</t>
    </r>
    <r>
      <rPr>
        <sz val="11"/>
        <rFont val="Tahoma"/>
        <family val="2"/>
      </rPr>
      <t>SO</t>
    </r>
    <r>
      <rPr>
        <vertAlign val="subscript"/>
        <sz val="11"/>
        <rFont val="Tahoma"/>
        <family val="2"/>
      </rPr>
      <t>4</t>
    </r>
    <r>
      <rPr>
        <sz val="11"/>
        <rFont val="Tahoma"/>
        <family val="2"/>
      </rPr>
      <t>):</t>
    </r>
  </si>
  <si>
    <t>Volumenes de disolución a añadir</t>
  </si>
  <si>
    <t>Nota:</t>
  </si>
  <si>
    <t>Corrección por Bicarbonato Potásico para aumento de kH</t>
  </si>
  <si>
    <r>
      <t>Aportación equivalente de K</t>
    </r>
    <r>
      <rPr>
        <vertAlign val="superscript"/>
        <sz val="11"/>
        <rFont val="Tahoma"/>
        <family val="2"/>
      </rPr>
      <t>+</t>
    </r>
    <r>
      <rPr>
        <sz val="11"/>
        <rFont val="Tahoma"/>
        <family val="2"/>
      </rPr>
      <t xml:space="preserve"> semanal:</t>
    </r>
  </si>
  <si>
    <t>NOTAS GENERALES</t>
  </si>
  <si>
    <t>Abono de Nitrato:</t>
  </si>
  <si>
    <t>Abono de Fosfato:</t>
  </si>
  <si>
    <t>Abono de Potasio:</t>
  </si>
  <si>
    <r>
      <t>Sal de Fosfato Monopotásico (KH</t>
    </r>
    <r>
      <rPr>
        <vertAlign val="subscript"/>
        <sz val="10"/>
        <rFont val="Tahoma"/>
        <family val="2"/>
      </rPr>
      <t>2</t>
    </r>
    <r>
      <rPr>
        <sz val="10"/>
        <rFont val="Tahoma"/>
        <family val="2"/>
      </rPr>
      <t>PO</t>
    </r>
    <r>
      <rPr>
        <vertAlign val="subscript"/>
        <sz val="10"/>
        <rFont val="Tahoma"/>
        <family val="2"/>
      </rPr>
      <t>4</t>
    </r>
    <r>
      <rPr>
        <sz val="10"/>
        <rFont val="Tahoma"/>
        <family val="2"/>
      </rPr>
      <t>)</t>
    </r>
  </si>
  <si>
    <r>
      <t>Sal de Sulfato Potásico (K</t>
    </r>
    <r>
      <rPr>
        <vertAlign val="subscript"/>
        <sz val="10"/>
        <rFont val="Tahoma"/>
        <family val="2"/>
      </rPr>
      <t>2</t>
    </r>
    <r>
      <rPr>
        <sz val="10"/>
        <rFont val="Tahoma"/>
        <family val="2"/>
      </rPr>
      <t>SO</t>
    </r>
    <r>
      <rPr>
        <vertAlign val="subscript"/>
        <sz val="10"/>
        <rFont val="Tahoma"/>
        <family val="2"/>
      </rPr>
      <t>4</t>
    </r>
    <r>
      <rPr>
        <sz val="10"/>
        <rFont val="Tahoma"/>
        <family val="2"/>
      </rPr>
      <t>)</t>
    </r>
  </si>
  <si>
    <t>Bicarbonato de Potasio a añadir:</t>
  </si>
  <si>
    <t>Subida de GH con Magnesio:</t>
  </si>
  <si>
    <t>Subida de GH con Calcio:</t>
  </si>
  <si>
    <t>1) Las disoluciones deben prepararse con Agua Destilada, y se añadirán las siguientes sales:</t>
  </si>
  <si>
    <t>Calcio:</t>
  </si>
  <si>
    <t>Magnesio:</t>
  </si>
  <si>
    <r>
      <t>Sal de Cloruro de Calcio (CaCl</t>
    </r>
    <r>
      <rPr>
        <vertAlign val="subscript"/>
        <sz val="10"/>
        <rFont val="Tahoma"/>
        <family val="2"/>
      </rPr>
      <t>2</t>
    </r>
    <r>
      <rPr>
        <sz val="10"/>
        <rFont val="Tahoma"/>
        <family val="2"/>
      </rPr>
      <t>)</t>
    </r>
  </si>
  <si>
    <r>
      <t>Sal de Sulfato de Magnesio heptahidratado (MgSO</t>
    </r>
    <r>
      <rPr>
        <vertAlign val="subscript"/>
        <sz val="10"/>
        <rFont val="Tahoma"/>
        <family val="2"/>
      </rPr>
      <t>4</t>
    </r>
    <r>
      <rPr>
        <sz val="10"/>
        <rFont val="Tahoma"/>
        <family val="2"/>
      </rPr>
      <t>·7H</t>
    </r>
    <r>
      <rPr>
        <vertAlign val="subscript"/>
        <sz val="10"/>
        <rFont val="Tahoma"/>
        <family val="2"/>
      </rPr>
      <t>2</t>
    </r>
    <r>
      <rPr>
        <sz val="10"/>
        <rFont val="Tahoma"/>
        <family val="2"/>
      </rPr>
      <t>O)</t>
    </r>
  </si>
  <si>
    <t>2) Las concentraciones de referencia NPK son de 10:1:13, aunque las proporciones adecuadas dependen de cada acuario.</t>
  </si>
  <si>
    <r>
      <t>1) La disolución debe prepararse con Agua Destilada, y la sal a utilizar es Bicarbonato Potásico (KHCO</t>
    </r>
    <r>
      <rPr>
        <vertAlign val="subscript"/>
        <sz val="10"/>
        <rFont val="Tahoma"/>
        <family val="2"/>
      </rPr>
      <t>3</t>
    </r>
    <r>
      <rPr>
        <sz val="10"/>
        <rFont val="Tahoma"/>
        <family val="2"/>
      </rPr>
      <t>).</t>
    </r>
  </si>
  <si>
    <r>
      <t>2) Si no se quiere tener en cuenta la contribución de K</t>
    </r>
    <r>
      <rPr>
        <vertAlign val="superscript"/>
        <sz val="10"/>
        <rFont val="Tahoma"/>
        <family val="2"/>
      </rPr>
      <t>+</t>
    </r>
    <r>
      <rPr>
        <sz val="10"/>
        <rFont val="Tahoma"/>
        <family val="2"/>
      </rPr>
      <t xml:space="preserve"> para abonado NPK, es preciso poner el mismo valor de kH inicial y de kH deseado.</t>
    </r>
  </si>
  <si>
    <t>mg</t>
  </si>
  <si>
    <r>
      <t>Concentración K</t>
    </r>
    <r>
      <rPr>
        <vertAlign val="superscript"/>
        <sz val="11"/>
        <rFont val="Tahoma"/>
        <family val="2"/>
      </rPr>
      <t>+</t>
    </r>
    <r>
      <rPr>
        <sz val="11"/>
        <rFont val="Tahoma"/>
        <family val="2"/>
      </rPr>
      <t xml:space="preserve"> tras cambio de agua:</t>
    </r>
  </si>
  <si>
    <r>
      <t>Sal de Nitrato Potásico (KNO</t>
    </r>
    <r>
      <rPr>
        <vertAlign val="subscript"/>
        <sz val="10"/>
        <rFont val="Tahoma"/>
        <family val="2"/>
      </rPr>
      <t>3</t>
    </r>
    <r>
      <rPr>
        <sz val="10"/>
        <rFont val="Tahoma"/>
        <family val="2"/>
      </rPr>
      <t>)</t>
    </r>
  </si>
  <si>
    <r>
      <t>(Nota: se utiliza para calcular el K</t>
    </r>
    <r>
      <rPr>
        <vertAlign val="superscript"/>
        <sz val="8"/>
        <rFont val="Tahoma"/>
        <family val="2"/>
      </rPr>
      <t>+</t>
    </r>
    <r>
      <rPr>
        <sz val="8"/>
        <rFont val="Tahoma"/>
        <family val="2"/>
      </rPr>
      <t xml:space="preserve"> añadido con los cambios y su influencia en el abonado semanal)</t>
    </r>
  </si>
  <si>
    <t>Nº de dosis:</t>
  </si>
  <si>
    <t>ud</t>
  </si>
  <si>
    <r>
      <t>3) La contribución de K</t>
    </r>
    <r>
      <rPr>
        <vertAlign val="superscript"/>
        <sz val="10"/>
        <rFont val="Tahoma"/>
        <family val="2"/>
      </rPr>
      <t>+</t>
    </r>
    <r>
      <rPr>
        <sz val="10"/>
        <rFont val="Tahoma"/>
        <family val="2"/>
      </rPr>
      <t xml:space="preserve"> por la utilización de sales para aumento de kH se obtiene de la "Hoja" de kH. Si no se quiere considerar su contribución, hay que poner el mismo valor de kH inicial y de kH deseado, o poner volumen de agua a tratar "0". Se considera que el abonado es semanal, por lo que se obtiene la aportación semanal equivalente, independientemente del intervalo de tiempo en los cambios de agua.</t>
    </r>
  </si>
  <si>
    <t>Temperatura:</t>
  </si>
  <si>
    <t>Datos de solubilidad</t>
  </si>
  <si>
    <t>KNO3</t>
  </si>
  <si>
    <t>Formula</t>
  </si>
  <si>
    <t>KH2PO4</t>
  </si>
  <si>
    <t>K2SO4</t>
  </si>
  <si>
    <t>KHCO3</t>
  </si>
  <si>
    <t>CaCl2</t>
  </si>
  <si>
    <t>MgSO4</t>
  </si>
  <si>
    <t>MgSO4·7H2O</t>
  </si>
  <si>
    <t>(g/100 mL)</t>
  </si>
  <si>
    <t>(g/L)</t>
  </si>
  <si>
    <t>Temp.ref</t>
  </si>
  <si>
    <t>Dicha temperatura se aplica también a los cálculos de KH y GH, afectando a la solubilidad de las sales.</t>
  </si>
  <si>
    <r>
      <t>Solubilidad KNO</t>
    </r>
    <r>
      <rPr>
        <vertAlign val="subscript"/>
        <sz val="11"/>
        <color theme="1"/>
        <rFont val="Tahoma"/>
        <family val="2"/>
      </rPr>
      <t>3</t>
    </r>
  </si>
  <si>
    <r>
      <t>Solubilidad KH</t>
    </r>
    <r>
      <rPr>
        <vertAlign val="subscript"/>
        <sz val="11"/>
        <color theme="1"/>
        <rFont val="Tahoma"/>
        <family val="2"/>
      </rPr>
      <t>2</t>
    </r>
    <r>
      <rPr>
        <sz val="11"/>
        <color theme="1"/>
        <rFont val="Tahoma"/>
        <family val="2"/>
      </rPr>
      <t>PO</t>
    </r>
    <r>
      <rPr>
        <vertAlign val="subscript"/>
        <sz val="11"/>
        <color theme="1"/>
        <rFont val="Tahoma"/>
        <family val="2"/>
      </rPr>
      <t>4</t>
    </r>
  </si>
  <si>
    <r>
      <t>Solubilidad K</t>
    </r>
    <r>
      <rPr>
        <vertAlign val="subscript"/>
        <sz val="11"/>
        <color theme="1"/>
        <rFont val="Tahoma"/>
        <family val="2"/>
      </rPr>
      <t>2</t>
    </r>
    <r>
      <rPr>
        <sz val="11"/>
        <color theme="1"/>
        <rFont val="Tahoma"/>
        <family val="2"/>
      </rPr>
      <t>SO</t>
    </r>
    <r>
      <rPr>
        <vertAlign val="subscript"/>
        <sz val="11"/>
        <color theme="1"/>
        <rFont val="Tahoma"/>
        <family val="2"/>
      </rPr>
      <t>4</t>
    </r>
  </si>
  <si>
    <r>
      <t>Solubilidad KHCO</t>
    </r>
    <r>
      <rPr>
        <b/>
        <vertAlign val="subscript"/>
        <sz val="11"/>
        <rFont val="Tahoma"/>
        <family val="2"/>
      </rPr>
      <t>3</t>
    </r>
    <r>
      <rPr>
        <sz val="11"/>
        <rFont val="Tahoma"/>
        <family val="2"/>
      </rPr>
      <t>:</t>
    </r>
  </si>
  <si>
    <r>
      <t>Concentración KHCO</t>
    </r>
    <r>
      <rPr>
        <b/>
        <vertAlign val="subscript"/>
        <sz val="11"/>
        <rFont val="Tahoma"/>
        <family val="2"/>
      </rPr>
      <t>3</t>
    </r>
    <r>
      <rPr>
        <sz val="11"/>
        <rFont val="Tahoma"/>
        <family val="2"/>
      </rPr>
      <t xml:space="preserve"> en la disolución:</t>
    </r>
  </si>
  <si>
    <r>
      <t>Cantidad de KHCO</t>
    </r>
    <r>
      <rPr>
        <vertAlign val="subscript"/>
        <sz val="11"/>
        <rFont val="Tahoma"/>
        <family val="2"/>
      </rPr>
      <t>3</t>
    </r>
    <r>
      <rPr>
        <sz val="11"/>
        <rFont val="Tahoma"/>
        <family val="2"/>
      </rPr>
      <t xml:space="preserve"> a preparar la disolución:</t>
    </r>
  </si>
  <si>
    <t>5) Se indica como "Poco soluble" cuando se supera el 50% del valor límite de solubilidad de la sal a la temperatura indicada.</t>
  </si>
  <si>
    <t>4) Si una disolución se indica como "Insoluble", debe aumentarse el volumen de la disolución, o disminuirse el peso de sal.</t>
  </si>
  <si>
    <t>3) Si la disolución se indica como "Insoluble", debe aumentarse la dosis a aditar.</t>
  </si>
  <si>
    <t>Solubilidad:</t>
  </si>
  <si>
    <t>Concentración:</t>
  </si>
  <si>
    <t>Sales a añadir a las disoluciones:</t>
  </si>
  <si>
    <r>
      <t>CaCl</t>
    </r>
    <r>
      <rPr>
        <vertAlign val="subscript"/>
        <sz val="11"/>
        <rFont val="Tahoma"/>
        <family val="2"/>
      </rPr>
      <t>2</t>
    </r>
    <r>
      <rPr>
        <sz val="11"/>
        <rFont val="Tahoma"/>
        <family val="2"/>
      </rPr>
      <t>:</t>
    </r>
  </si>
  <si>
    <r>
      <t>MgSO</t>
    </r>
    <r>
      <rPr>
        <vertAlign val="subscript"/>
        <sz val="11"/>
        <rFont val="Tahoma"/>
        <family val="2"/>
      </rPr>
      <t>4</t>
    </r>
    <r>
      <rPr>
        <sz val="11"/>
        <rFont val="Tahoma"/>
        <family val="2"/>
      </rPr>
      <t>·7H</t>
    </r>
    <r>
      <rPr>
        <vertAlign val="subscript"/>
        <sz val="11"/>
        <rFont val="Tahoma"/>
        <family val="2"/>
      </rPr>
      <t>2</t>
    </r>
    <r>
      <rPr>
        <sz val="11"/>
        <rFont val="Tahoma"/>
        <family val="2"/>
      </rPr>
      <t>O:</t>
    </r>
  </si>
  <si>
    <r>
      <t>Disolución CaCl</t>
    </r>
    <r>
      <rPr>
        <vertAlign val="subscript"/>
        <sz val="11"/>
        <rFont val="Tahoma"/>
        <family val="2"/>
      </rPr>
      <t>2</t>
    </r>
    <r>
      <rPr>
        <sz val="11"/>
        <rFont val="Tahoma"/>
        <family val="2"/>
      </rPr>
      <t>:</t>
    </r>
  </si>
  <si>
    <r>
      <t>Disolución MgSO</t>
    </r>
    <r>
      <rPr>
        <vertAlign val="subscript"/>
        <sz val="11"/>
        <rFont val="Tahoma"/>
        <family val="2"/>
      </rPr>
      <t>4</t>
    </r>
    <r>
      <rPr>
        <sz val="11"/>
        <rFont val="Tahoma"/>
        <family val="2"/>
      </rPr>
      <t>·7H</t>
    </r>
    <r>
      <rPr>
        <vertAlign val="subscript"/>
        <sz val="11"/>
        <rFont val="Tahoma"/>
        <family val="2"/>
      </rPr>
      <t>2</t>
    </r>
    <r>
      <rPr>
        <sz val="11"/>
        <rFont val="Tahoma"/>
        <family val="2"/>
      </rPr>
      <t>O:</t>
    </r>
  </si>
  <si>
    <t>2) Las disoluciones deben prepararse por separado, no se juntan.</t>
  </si>
  <si>
    <t>4) La temperatura indicada se refiere a la temperatura de almacenamiento de la disolución.</t>
  </si>
  <si>
    <t>6) La temperatura indicada se refiere a la temperatura de almacenamiento de las disoluciones.</t>
  </si>
  <si>
    <t>Abonado NPK</t>
  </si>
  <si>
    <t>RESUMEN DE LOS CÁLCULOS REALIZADOS</t>
  </si>
  <si>
    <t>Cálculadora de Disoluciones</t>
  </si>
  <si>
    <t>1) Las disoluciones para aumento de KH y GH deben prepararse con Agua Destilada, y se añadirán las siguientes sales:</t>
  </si>
  <si>
    <t>4) Las disoluciones para abonado deben prepararse con Agua Destilada, y se añadirán las siguientes sales:</t>
  </si>
  <si>
    <t>KH:</t>
  </si>
  <si>
    <t>GH:</t>
  </si>
  <si>
    <r>
      <t>Sal de Bicarbonato Potásico (KHCO</t>
    </r>
    <r>
      <rPr>
        <vertAlign val="subscript"/>
        <sz val="10"/>
        <rFont val="Tahoma"/>
        <family val="2"/>
      </rPr>
      <t>3</t>
    </r>
    <r>
      <rPr>
        <sz val="10"/>
        <rFont val="Tahoma"/>
        <family val="2"/>
      </rPr>
      <t>).</t>
    </r>
  </si>
  <si>
    <r>
      <t>y Sal de Sulfato de Magnesio heptahidratado (MgSO</t>
    </r>
    <r>
      <rPr>
        <vertAlign val="subscript"/>
        <sz val="10"/>
        <rFont val="Tahoma"/>
        <family val="2"/>
      </rPr>
      <t>4</t>
    </r>
    <r>
      <rPr>
        <sz val="10"/>
        <rFont val="Tahoma"/>
        <family val="2"/>
      </rPr>
      <t>·7H</t>
    </r>
    <r>
      <rPr>
        <vertAlign val="subscript"/>
        <sz val="10"/>
        <rFont val="Tahoma"/>
        <family val="2"/>
      </rPr>
      <t>2</t>
    </r>
    <r>
      <rPr>
        <sz val="10"/>
        <rFont val="Tahoma"/>
        <family val="2"/>
      </rPr>
      <t>O)</t>
    </r>
  </si>
  <si>
    <t>5) Las disoluciones deben prepararse por separado, no se juntan.</t>
  </si>
  <si>
    <t>6) Si una disolución se indica como "Insoluble", debe aumentarse el volumen de la disolución, o disminuirse el peso de sal.</t>
  </si>
  <si>
    <t>7) Se indica como "Poco soluble" cuando se supera el 50% del valor límite de solubilidad de la sal a la temperatura indicada. Es solo un valor de referencia.</t>
  </si>
  <si>
    <t>8) La temperatura indicada se refiere a la temperatura de almacenamiento de las disoluciones, que afecta a la disolubilidad de las sales.</t>
  </si>
  <si>
    <t>9) Los pasos para preparar una disolución son:</t>
  </si>
  <si>
    <t>a) disponer de un bote con el volumen de la disolución desado marcado.</t>
  </si>
  <si>
    <t>b) pesar la sal en la cantidad indicada, y añadirla al bote</t>
  </si>
  <si>
    <t>c) añadir agua destilada hasta aproximadamente las 3/4 del volumen, y agitar</t>
  </si>
  <si>
    <t>d) completar con agua destilada hasta alcanzar el volumen total marcado en el bote</t>
  </si>
  <si>
    <t>Volumen neto del Acuaro:</t>
  </si>
  <si>
    <t>Temperatura de almacenamiento de las disoluciones:</t>
  </si>
  <si>
    <r>
      <t>Disolución bicarbonato (KHCO</t>
    </r>
    <r>
      <rPr>
        <vertAlign val="subscript"/>
        <sz val="11"/>
        <rFont val="Tahoma"/>
        <family val="2"/>
      </rPr>
      <t>3)</t>
    </r>
    <r>
      <rPr>
        <sz val="11"/>
        <rFont val="Tahoma"/>
        <family val="2"/>
      </rPr>
      <t>:</t>
    </r>
  </si>
  <si>
    <r>
      <t>Disolución Calcio (CaCl</t>
    </r>
    <r>
      <rPr>
        <vertAlign val="subscript"/>
        <sz val="11"/>
        <rFont val="Tahoma"/>
        <family val="2"/>
      </rPr>
      <t>2</t>
    </r>
    <r>
      <rPr>
        <sz val="11"/>
        <rFont val="Tahoma"/>
        <family val="2"/>
      </rPr>
      <t>):</t>
    </r>
  </si>
  <si>
    <r>
      <t>Disolución Magnesio (MgSO</t>
    </r>
    <r>
      <rPr>
        <vertAlign val="subscript"/>
        <sz val="11"/>
        <rFont val="Tahoma"/>
        <family val="2"/>
      </rPr>
      <t>4</t>
    </r>
    <r>
      <rPr>
        <sz val="11"/>
        <rFont val="Tahoma"/>
        <family val="2"/>
      </rPr>
      <t>·7H</t>
    </r>
    <r>
      <rPr>
        <vertAlign val="subscript"/>
        <sz val="11"/>
        <rFont val="Tahoma"/>
        <family val="2"/>
      </rPr>
      <t>2</t>
    </r>
    <r>
      <rPr>
        <sz val="11"/>
        <rFont val="Tahoma"/>
        <family val="2"/>
      </rPr>
      <t>O):</t>
    </r>
  </si>
  <si>
    <r>
      <t>Calcio (CaCl</t>
    </r>
    <r>
      <rPr>
        <vertAlign val="subscript"/>
        <sz val="11"/>
        <rFont val="Tahoma"/>
        <family val="2"/>
      </rPr>
      <t>2</t>
    </r>
    <r>
      <rPr>
        <sz val="11"/>
        <rFont val="Tahoma"/>
        <family val="2"/>
      </rPr>
      <t>):</t>
    </r>
  </si>
  <si>
    <r>
      <t>Magnesio (MgSO</t>
    </r>
    <r>
      <rPr>
        <vertAlign val="subscript"/>
        <sz val="11"/>
        <rFont val="Tahoma"/>
        <family val="2"/>
      </rPr>
      <t>4</t>
    </r>
    <r>
      <rPr>
        <sz val="11"/>
        <rFont val="Tahoma"/>
        <family val="2"/>
      </rPr>
      <t>·7H</t>
    </r>
    <r>
      <rPr>
        <vertAlign val="subscript"/>
        <sz val="11"/>
        <rFont val="Tahoma"/>
        <family val="2"/>
      </rPr>
      <t>2</t>
    </r>
    <r>
      <rPr>
        <sz val="11"/>
        <rFont val="Tahoma"/>
        <family val="2"/>
      </rPr>
      <t>O):</t>
    </r>
  </si>
  <si>
    <t>Volumen de cambio de agua:</t>
  </si>
  <si>
    <r>
      <t>Disolución Nitrato (KNO</t>
    </r>
    <r>
      <rPr>
        <vertAlign val="subscript"/>
        <sz val="11"/>
        <rFont val="Tahoma"/>
        <family val="2"/>
      </rPr>
      <t>3</t>
    </r>
    <r>
      <rPr>
        <sz val="11"/>
        <rFont val="Tahoma"/>
        <family val="2"/>
      </rPr>
      <t>)</t>
    </r>
  </si>
  <si>
    <r>
      <t>Disolución Fosfato ( KH</t>
    </r>
    <r>
      <rPr>
        <vertAlign val="subscript"/>
        <sz val="11"/>
        <rFont val="Tahoma"/>
        <family val="2"/>
      </rPr>
      <t>2</t>
    </r>
    <r>
      <rPr>
        <sz val="11"/>
        <rFont val="Tahoma"/>
        <family val="2"/>
      </rPr>
      <t>PO</t>
    </r>
    <r>
      <rPr>
        <vertAlign val="subscript"/>
        <sz val="11"/>
        <rFont val="Tahoma"/>
        <family val="2"/>
      </rPr>
      <t>4</t>
    </r>
    <r>
      <rPr>
        <sz val="11"/>
        <rFont val="Tahoma"/>
        <family val="2"/>
      </rPr>
      <t>)</t>
    </r>
  </si>
  <si>
    <r>
      <t>Disolución Potasio (K</t>
    </r>
    <r>
      <rPr>
        <vertAlign val="subscript"/>
        <sz val="11"/>
        <rFont val="Tahoma"/>
        <family val="2"/>
      </rPr>
      <t>2</t>
    </r>
    <r>
      <rPr>
        <sz val="11"/>
        <rFont val="Tahoma"/>
        <family val="2"/>
      </rPr>
      <t>SO</t>
    </r>
    <r>
      <rPr>
        <vertAlign val="subscript"/>
        <sz val="11"/>
        <rFont val="Tahoma"/>
        <family val="2"/>
      </rPr>
      <t>4</t>
    </r>
    <r>
      <rPr>
        <sz val="11"/>
        <rFont val="Tahoma"/>
        <family val="2"/>
      </rPr>
      <t>)</t>
    </r>
  </si>
  <si>
    <t>Volumen de disolución a añadir</t>
  </si>
  <si>
    <t>10) La calculadora solo permite la modificación de las celdas en blanco.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</si>
</sst>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0000;\ ;"/>
    <numFmt numFmtId="166" formatCode="0.000"/>
    <numFmt numFmtId="167" formatCode="0.0\ \º\C"/>
    <numFmt numFmtId="168" formatCode="0\ \º\C"/>
    <numFmt numFmtId="169" formatCode="0\ &quot;litros&quot;"/>
  </numFmts>
  <fonts count="26" x14ac:knownFonts="1">
    <font>
      <sz val="11"/>
      <color theme="1"/>
      <name val="Calibri"/>
      <family val="2"/>
      <scheme val="minor"/>
    </font>
    <font>
      <sz val="11"/>
      <name val="Tahoma"/>
      <family val="2"/>
    </font>
    <font>
      <vertAlign val="superscript"/>
      <sz val="11"/>
      <name val="Tahoma"/>
      <family val="2"/>
    </font>
    <font>
      <b/>
      <sz val="11"/>
      <color theme="0"/>
      <name val="Tahoma"/>
      <family val="2"/>
    </font>
    <font>
      <b/>
      <sz val="12"/>
      <color theme="0"/>
      <name val="Tahoma"/>
      <family val="2"/>
    </font>
    <font>
      <b/>
      <sz val="14"/>
      <color theme="0"/>
      <name val="Tahoma"/>
      <family val="2"/>
    </font>
    <font>
      <b/>
      <vertAlign val="subscript"/>
      <sz val="11"/>
      <color theme="0"/>
      <name val="Tahoma"/>
      <family val="2"/>
    </font>
    <font>
      <sz val="8"/>
      <name val="Tahoma"/>
      <family val="2"/>
    </font>
    <font>
      <b/>
      <sz val="11"/>
      <color rgb="FF002060"/>
      <name val="Tahoma"/>
      <family val="2"/>
    </font>
    <font>
      <vertAlign val="subscript"/>
      <sz val="11"/>
      <name val="Tahoma"/>
      <family val="2"/>
    </font>
    <font>
      <sz val="11"/>
      <color theme="1"/>
      <name val="Tahoma"/>
      <family val="2"/>
    </font>
    <font>
      <vertAlign val="subscript"/>
      <sz val="11"/>
      <color theme="1"/>
      <name val="Tahoma"/>
      <family val="2"/>
    </font>
    <font>
      <b/>
      <sz val="11"/>
      <name val="Tahoma"/>
      <family val="2"/>
    </font>
    <font>
      <b/>
      <vertAlign val="subscript"/>
      <sz val="11"/>
      <name val="Tahoma"/>
      <family val="2"/>
    </font>
    <font>
      <b/>
      <vertAlign val="superscript"/>
      <sz val="11"/>
      <name val="Tahoma"/>
      <family val="2"/>
    </font>
    <font>
      <vertAlign val="superscript"/>
      <sz val="8"/>
      <name val="Tahoma"/>
      <family val="2"/>
    </font>
    <font>
      <sz val="10"/>
      <name val="Tahoma"/>
      <family val="2"/>
    </font>
    <font>
      <sz val="10"/>
      <color theme="1"/>
      <name val="Calibri"/>
      <family val="2"/>
      <scheme val="minor"/>
    </font>
    <font>
      <vertAlign val="subscript"/>
      <sz val="10"/>
      <name val="Tahoma"/>
      <family val="2"/>
    </font>
    <font>
      <vertAlign val="superscript"/>
      <sz val="10"/>
      <name val="Tahoma"/>
      <family val="2"/>
    </font>
    <font>
      <b/>
      <sz val="10"/>
      <color theme="0"/>
      <name val="Tahoma"/>
      <family val="2"/>
    </font>
    <font>
      <b/>
      <sz val="9"/>
      <color theme="0"/>
      <name val="Tahoma"/>
      <family val="2"/>
    </font>
    <font>
      <sz val="11"/>
      <color rgb="FF202122"/>
      <name val="Arial"/>
      <family val="2"/>
    </font>
    <font>
      <u/>
      <sz val="11"/>
      <color theme="10"/>
      <name val="Calibri"/>
      <family val="2"/>
      <scheme val="minor"/>
    </font>
    <font>
      <b/>
      <sz val="11"/>
      <color rgb="FF202122"/>
      <name val="Arial"/>
      <family val="2"/>
    </font>
    <font>
      <b/>
      <sz val="16"/>
      <color theme="0"/>
      <name val="Tahoma"/>
      <family val="2"/>
    </font>
  </fonts>
  <fills count="9">
    <fill>
      <patternFill patternType="none"/>
    </fill>
    <fill>
      <patternFill patternType="gray125"/>
    </fill>
    <fill>
      <patternFill patternType="solid">
        <fgColor indexed="22"/>
        <bgColor indexed="64"/>
      </patternFill>
    </fill>
    <fill>
      <patternFill patternType="solid">
        <fgColor rgb="FFBFBFBF"/>
        <bgColor indexed="64"/>
      </patternFill>
    </fill>
    <fill>
      <patternFill patternType="solid">
        <fgColor theme="0"/>
        <bgColor indexed="64"/>
      </patternFill>
    </fill>
    <fill>
      <patternFill patternType="solid">
        <fgColor rgb="FF1A3757"/>
        <bgColor indexed="64"/>
      </patternFill>
    </fill>
    <fill>
      <patternFill patternType="solid">
        <fgColor rgb="FF173454"/>
        <bgColor indexed="64"/>
      </patternFill>
    </fill>
    <fill>
      <patternFill patternType="solid">
        <fgColor rgb="FFF8F9FA"/>
        <bgColor indexed="64"/>
      </patternFill>
    </fill>
    <fill>
      <patternFill patternType="solid">
        <fgColor rgb="FFEAECF0"/>
        <bgColor indexed="64"/>
      </patternFill>
    </fill>
  </fills>
  <borders count="11">
    <border>
      <left/>
      <right/>
      <top/>
      <bottom/>
      <diagonal/>
    </border>
    <border>
      <left/>
      <right style="medium">
        <color rgb="FF173454"/>
      </right>
      <top/>
      <bottom/>
      <diagonal/>
    </border>
    <border>
      <left style="medium">
        <color rgb="FF173454"/>
      </left>
      <right/>
      <top style="medium">
        <color rgb="FF173454"/>
      </top>
      <bottom/>
      <diagonal/>
    </border>
    <border>
      <left/>
      <right/>
      <top style="medium">
        <color rgb="FF173454"/>
      </top>
      <bottom/>
      <diagonal/>
    </border>
    <border>
      <left/>
      <right style="medium">
        <color rgb="FF173454"/>
      </right>
      <top style="medium">
        <color rgb="FF173454"/>
      </top>
      <bottom/>
      <diagonal/>
    </border>
    <border>
      <left style="medium">
        <color rgb="FF173454"/>
      </left>
      <right/>
      <top/>
      <bottom/>
      <diagonal/>
    </border>
    <border>
      <left style="medium">
        <color rgb="FF173454"/>
      </left>
      <right/>
      <top/>
      <bottom style="medium">
        <color rgb="FF173454"/>
      </bottom>
      <diagonal/>
    </border>
    <border>
      <left/>
      <right/>
      <top/>
      <bottom style="medium">
        <color rgb="FF173454"/>
      </bottom>
      <diagonal/>
    </border>
    <border>
      <left/>
      <right style="medium">
        <color rgb="FF173454"/>
      </right>
      <top/>
      <bottom style="medium">
        <color rgb="FF173454"/>
      </bottom>
      <diagonal/>
    </border>
    <border>
      <left style="medium">
        <color rgb="FFA2A9B1"/>
      </left>
      <right style="medium">
        <color rgb="FFA2A9B1"/>
      </right>
      <top style="medium">
        <color rgb="FFA2A9B1"/>
      </top>
      <bottom style="medium">
        <color rgb="FFA2A9B1"/>
      </bottom>
      <diagonal/>
    </border>
    <border>
      <left style="medium">
        <color rgb="FFA2A9B1"/>
      </left>
      <right/>
      <top/>
      <bottom/>
      <diagonal/>
    </border>
  </borders>
  <cellStyleXfs count="2">
    <xf numFmtId="0" fontId="0" fillId="0" borderId="0"/>
    <xf numFmtId="0" fontId="23" fillId="0" borderId="0" applyNumberFormat="0" applyFill="0" applyBorder="0" applyAlignment="0" applyProtection="0"/>
  </cellStyleXfs>
  <cellXfs count="109">
    <xf numFmtId="0" fontId="0" fillId="0" borderId="0" xfId="0"/>
    <xf numFmtId="0" fontId="0" fillId="0" borderId="0" xfId="0" applyProtection="1"/>
    <xf numFmtId="165" fontId="0" fillId="0" borderId="0" xfId="0" applyNumberFormat="1" applyProtection="1"/>
    <xf numFmtId="0" fontId="17" fillId="0" borderId="0" xfId="0" applyFont="1"/>
    <xf numFmtId="2" fontId="0" fillId="0" borderId="0" xfId="0" applyNumberFormat="1"/>
    <xf numFmtId="0" fontId="1" fillId="4" borderId="0" xfId="0" applyFont="1" applyFill="1" applyAlignment="1" applyProtection="1">
      <alignment horizontal="center" vertical="center" wrapText="1"/>
      <protection locked="0"/>
    </xf>
    <xf numFmtId="164" fontId="1" fillId="3" borderId="0" xfId="0" applyNumberFormat="1" applyFont="1" applyFill="1" applyAlignment="1" applyProtection="1">
      <alignment horizontal="center" vertical="center" wrapText="1"/>
      <protection hidden="1"/>
    </xf>
    <xf numFmtId="0" fontId="1" fillId="3" borderId="0" xfId="0" applyFont="1" applyFill="1" applyAlignment="1" applyProtection="1">
      <alignment horizontal="left" vertical="center" wrapText="1"/>
      <protection hidden="1"/>
    </xf>
    <xf numFmtId="2" fontId="1" fillId="3" borderId="0" xfId="0" applyNumberFormat="1" applyFont="1" applyFill="1" applyAlignment="1" applyProtection="1">
      <alignment horizontal="center" vertical="center" wrapText="1"/>
      <protection hidden="1"/>
    </xf>
    <xf numFmtId="1" fontId="1" fillId="3" borderId="0" xfId="0" applyNumberFormat="1" applyFont="1" applyFill="1" applyAlignment="1" applyProtection="1">
      <alignment vertical="center" wrapText="1"/>
      <protection hidden="1"/>
    </xf>
    <xf numFmtId="2" fontId="10" fillId="2" borderId="0" xfId="0" applyNumberFormat="1" applyFont="1" applyFill="1" applyBorder="1" applyAlignment="1" applyProtection="1">
      <alignment vertical="center"/>
      <protection hidden="1"/>
    </xf>
    <xf numFmtId="2" fontId="8" fillId="3" borderId="0" xfId="0" applyNumberFormat="1" applyFont="1" applyFill="1" applyAlignment="1" applyProtection="1">
      <alignment horizontal="center" vertical="center" wrapText="1"/>
      <protection hidden="1"/>
    </xf>
    <xf numFmtId="0" fontId="0" fillId="5" borderId="0" xfId="0" applyFill="1" applyProtection="1">
      <protection hidden="1"/>
    </xf>
    <xf numFmtId="0" fontId="0" fillId="6" borderId="0" xfId="0" applyFill="1" applyProtection="1">
      <protection hidden="1"/>
    </xf>
    <xf numFmtId="0" fontId="3" fillId="6" borderId="0" xfId="0" applyFont="1" applyFill="1" applyBorder="1" applyAlignment="1" applyProtection="1">
      <alignment vertical="center" wrapText="1"/>
      <protection hidden="1"/>
    </xf>
    <xf numFmtId="0" fontId="5" fillId="6" borderId="0" xfId="0" applyFont="1" applyFill="1" applyBorder="1" applyAlignment="1" applyProtection="1">
      <alignment horizontal="center" vertical="center" wrapText="1"/>
      <protection hidden="1"/>
    </xf>
    <xf numFmtId="0" fontId="1" fillId="3" borderId="0" xfId="0" applyFont="1" applyFill="1" applyAlignment="1" applyProtection="1">
      <alignment vertical="center" wrapText="1"/>
      <protection hidden="1"/>
    </xf>
    <xf numFmtId="0" fontId="1" fillId="3" borderId="0" xfId="0" applyFont="1" applyFill="1" applyAlignment="1" applyProtection="1">
      <alignment horizontal="right" vertical="center"/>
      <protection hidden="1"/>
    </xf>
    <xf numFmtId="0" fontId="1" fillId="3" borderId="0" xfId="0" applyFont="1" applyFill="1" applyAlignment="1" applyProtection="1">
      <alignment horizontal="left" vertical="center"/>
      <protection hidden="1"/>
    </xf>
    <xf numFmtId="0" fontId="7" fillId="3" borderId="0" xfId="0" applyFont="1" applyFill="1" applyAlignment="1" applyProtection="1">
      <alignment vertical="center" wrapText="1"/>
      <protection hidden="1"/>
    </xf>
    <xf numFmtId="0" fontId="7" fillId="3" borderId="0" xfId="0" applyFont="1" applyFill="1" applyAlignment="1" applyProtection="1">
      <alignment horizontal="left" vertical="center" wrapText="1"/>
      <protection hidden="1"/>
    </xf>
    <xf numFmtId="0" fontId="12" fillId="3" borderId="0" xfId="0" applyFont="1" applyFill="1" applyAlignment="1" applyProtection="1">
      <alignment vertical="center" textRotation="90" wrapText="1"/>
      <protection hidden="1"/>
    </xf>
    <xf numFmtId="0" fontId="12" fillId="3" borderId="0" xfId="0" applyFont="1" applyFill="1" applyAlignment="1" applyProtection="1">
      <alignment horizontal="right" vertical="center"/>
      <protection hidden="1"/>
    </xf>
    <xf numFmtId="0" fontId="1" fillId="3" borderId="0" xfId="0" applyFont="1" applyFill="1" applyAlignment="1" applyProtection="1">
      <alignment vertical="center"/>
      <protection hidden="1"/>
    </xf>
    <xf numFmtId="0" fontId="1" fillId="3" borderId="2" xfId="0" applyFont="1" applyFill="1" applyBorder="1" applyAlignment="1" applyProtection="1">
      <alignment vertical="center" wrapText="1"/>
      <protection hidden="1"/>
    </xf>
    <xf numFmtId="0" fontId="1" fillId="3" borderId="3" xfId="0" applyFont="1" applyFill="1" applyBorder="1" applyAlignment="1" applyProtection="1">
      <alignment vertical="center" wrapText="1"/>
      <protection hidden="1"/>
    </xf>
    <xf numFmtId="0" fontId="1" fillId="3" borderId="4" xfId="0" applyFont="1" applyFill="1" applyBorder="1" applyAlignment="1" applyProtection="1">
      <alignment vertical="center" wrapText="1"/>
      <protection hidden="1"/>
    </xf>
    <xf numFmtId="2" fontId="1" fillId="3" borderId="0" xfId="0" applyNumberFormat="1" applyFont="1" applyFill="1" applyAlignment="1" applyProtection="1">
      <alignment vertical="center" wrapText="1"/>
      <protection hidden="1"/>
    </xf>
    <xf numFmtId="0" fontId="1" fillId="3" borderId="0" xfId="0" applyFont="1" applyFill="1" applyBorder="1" applyAlignment="1" applyProtection="1">
      <alignment vertical="center" wrapText="1"/>
      <protection hidden="1"/>
    </xf>
    <xf numFmtId="0" fontId="1" fillId="3" borderId="0" xfId="0" applyFont="1" applyFill="1" applyBorder="1" applyAlignment="1" applyProtection="1">
      <alignment horizontal="right" vertical="center"/>
      <protection hidden="1"/>
    </xf>
    <xf numFmtId="0" fontId="1" fillId="3" borderId="1" xfId="0" applyFont="1" applyFill="1" applyBorder="1" applyAlignment="1" applyProtection="1">
      <alignment vertical="center" wrapText="1"/>
      <protection hidden="1"/>
    </xf>
    <xf numFmtId="0" fontId="1" fillId="3" borderId="6" xfId="0" applyFont="1" applyFill="1" applyBorder="1" applyAlignment="1" applyProtection="1">
      <alignment vertical="center" wrapText="1"/>
      <protection hidden="1"/>
    </xf>
    <xf numFmtId="0" fontId="1" fillId="3" borderId="7" xfId="0" applyFont="1" applyFill="1" applyBorder="1" applyAlignment="1" applyProtection="1">
      <alignment vertical="center" wrapText="1"/>
      <protection hidden="1"/>
    </xf>
    <xf numFmtId="0" fontId="1" fillId="3" borderId="8" xfId="0" applyFont="1" applyFill="1" applyBorder="1" applyAlignment="1" applyProtection="1">
      <alignment vertical="center" wrapText="1"/>
      <protection hidden="1"/>
    </xf>
    <xf numFmtId="0" fontId="10" fillId="5" borderId="0" xfId="0" applyFont="1" applyFill="1" applyProtection="1">
      <protection hidden="1"/>
    </xf>
    <xf numFmtId="0" fontId="10" fillId="6" borderId="0" xfId="0" applyFont="1" applyFill="1" applyProtection="1">
      <protection hidden="1"/>
    </xf>
    <xf numFmtId="0" fontId="16" fillId="3" borderId="0" xfId="0" applyFont="1" applyFill="1" applyAlignment="1" applyProtection="1">
      <alignment vertical="center" wrapText="1"/>
      <protection hidden="1"/>
    </xf>
    <xf numFmtId="0" fontId="16" fillId="3" borderId="0" xfId="0" applyFont="1" applyFill="1" applyAlignment="1" applyProtection="1">
      <alignment vertical="center"/>
      <protection hidden="1"/>
    </xf>
    <xf numFmtId="0" fontId="16" fillId="3" borderId="0" xfId="0" applyFont="1" applyFill="1" applyAlignment="1" applyProtection="1">
      <alignment horizontal="left" vertical="center"/>
      <protection hidden="1"/>
    </xf>
    <xf numFmtId="0" fontId="16" fillId="3" borderId="0" xfId="0" applyFont="1" applyFill="1" applyAlignment="1" applyProtection="1">
      <alignment horizontal="left" vertical="center" indent="1"/>
      <protection hidden="1"/>
    </xf>
    <xf numFmtId="0" fontId="4" fillId="6" borderId="0" xfId="0" applyFont="1" applyFill="1" applyAlignment="1" applyProtection="1">
      <alignment vertical="center"/>
      <protection hidden="1"/>
    </xf>
    <xf numFmtId="0" fontId="1" fillId="3" borderId="0" xfId="0" applyFont="1" applyFill="1" applyAlignment="1" applyProtection="1">
      <alignment horizontal="right" vertical="center" wrapText="1"/>
      <protection hidden="1"/>
    </xf>
    <xf numFmtId="164" fontId="1" fillId="3" borderId="0" xfId="0" applyNumberFormat="1" applyFont="1" applyFill="1" applyAlignment="1" applyProtection="1">
      <alignment vertical="center" wrapText="1"/>
      <protection hidden="1"/>
    </xf>
    <xf numFmtId="166" fontId="1" fillId="3" borderId="0" xfId="0" applyNumberFormat="1" applyFont="1" applyFill="1" applyAlignment="1" applyProtection="1">
      <alignment vertical="center" wrapText="1"/>
      <protection hidden="1"/>
    </xf>
    <xf numFmtId="2" fontId="8" fillId="3" borderId="0" xfId="0" applyNumberFormat="1" applyFont="1" applyFill="1" applyAlignment="1" applyProtection="1">
      <alignment vertical="center" wrapText="1"/>
      <protection hidden="1"/>
    </xf>
    <xf numFmtId="0" fontId="1" fillId="3" borderId="0" xfId="0" applyFont="1" applyFill="1" applyAlignment="1" applyProtection="1">
      <alignment horizontal="center" vertical="center" wrapText="1"/>
      <protection hidden="1"/>
    </xf>
    <xf numFmtId="0" fontId="10" fillId="0" borderId="0" xfId="0" applyFont="1" applyAlignment="1" applyProtection="1">
      <alignment horizontal="center"/>
      <protection locked="0"/>
    </xf>
    <xf numFmtId="0" fontId="16" fillId="3" borderId="0" xfId="0" applyFont="1" applyFill="1" applyAlignment="1" applyProtection="1">
      <alignment horizontal="right" vertical="center"/>
      <protection hidden="1"/>
    </xf>
    <xf numFmtId="0" fontId="16" fillId="3" borderId="0" xfId="0" applyFont="1" applyFill="1" applyAlignment="1" applyProtection="1">
      <alignment horizontal="left" vertical="center" wrapText="1"/>
      <protection hidden="1"/>
    </xf>
    <xf numFmtId="0" fontId="7" fillId="3" borderId="0" xfId="0" applyFont="1" applyFill="1" applyAlignment="1" applyProtection="1">
      <alignment horizontal="left" vertical="center" wrapText="1"/>
      <protection hidden="1"/>
    </xf>
    <xf numFmtId="0" fontId="16" fillId="3" borderId="0" xfId="0" applyFont="1" applyFill="1" applyAlignment="1" applyProtection="1">
      <alignment horizontal="left" vertical="center" wrapText="1"/>
      <protection hidden="1"/>
    </xf>
    <xf numFmtId="0" fontId="1" fillId="3" borderId="0" xfId="0" applyFont="1" applyFill="1" applyAlignment="1" applyProtection="1">
      <alignment horizontal="center" vertical="center" wrapText="1"/>
      <protection hidden="1"/>
    </xf>
    <xf numFmtId="0" fontId="1" fillId="3" borderId="0" xfId="0" applyFont="1" applyFill="1" applyAlignment="1" applyProtection="1">
      <alignment horizontal="right" vertical="center" wrapText="1"/>
      <protection hidden="1"/>
    </xf>
    <xf numFmtId="0" fontId="23" fillId="7" borderId="9" xfId="1" applyFill="1" applyBorder="1" applyAlignment="1">
      <alignment vertical="center" wrapText="1"/>
    </xf>
    <xf numFmtId="0" fontId="22" fillId="7" borderId="9" xfId="0" applyFont="1" applyFill="1" applyBorder="1" applyAlignment="1">
      <alignment vertical="center" wrapText="1"/>
    </xf>
    <xf numFmtId="0" fontId="24" fillId="8" borderId="9" xfId="0" applyFont="1" applyFill="1" applyBorder="1" applyAlignment="1">
      <alignment horizontal="center" vertical="center" wrapText="1"/>
    </xf>
    <xf numFmtId="164" fontId="22" fillId="7" borderId="9" xfId="0" applyNumberFormat="1" applyFont="1" applyFill="1" applyBorder="1" applyAlignment="1">
      <alignment vertical="center" wrapText="1"/>
    </xf>
    <xf numFmtId="167" fontId="24" fillId="8" borderId="9" xfId="0" applyNumberFormat="1" applyFont="1" applyFill="1" applyBorder="1" applyAlignment="1">
      <alignment horizontal="center" vertical="center" wrapText="1"/>
    </xf>
    <xf numFmtId="0" fontId="24" fillId="8" borderId="10" xfId="0" applyFont="1" applyFill="1" applyBorder="1" applyAlignment="1">
      <alignment horizontal="center" vertical="center" wrapText="1"/>
    </xf>
    <xf numFmtId="0" fontId="21" fillId="6" borderId="0" xfId="0" applyFont="1" applyFill="1" applyAlignment="1" applyProtection="1">
      <alignment vertical="center"/>
      <protection hidden="1"/>
    </xf>
    <xf numFmtId="167" fontId="21" fillId="6" borderId="0" xfId="0" applyNumberFormat="1" applyFont="1" applyFill="1" applyAlignment="1" applyProtection="1">
      <alignment vertical="center"/>
      <protection locked="0" hidden="1"/>
    </xf>
    <xf numFmtId="168" fontId="16" fillId="4" borderId="0" xfId="0" applyNumberFormat="1" applyFont="1" applyFill="1" applyAlignment="1" applyProtection="1">
      <alignment horizontal="center" vertical="center" wrapText="1"/>
      <protection locked="0"/>
    </xf>
    <xf numFmtId="0" fontId="20" fillId="6" borderId="0" xfId="0" applyFont="1" applyFill="1" applyAlignment="1" applyProtection="1">
      <alignment horizontal="right" vertical="center"/>
      <protection hidden="1"/>
    </xf>
    <xf numFmtId="1" fontId="1" fillId="3" borderId="0" xfId="0" applyNumberFormat="1" applyFont="1" applyFill="1" applyAlignment="1" applyProtection="1">
      <alignment horizontal="center" vertical="center" wrapText="1"/>
      <protection hidden="1"/>
    </xf>
    <xf numFmtId="0" fontId="16" fillId="3" borderId="0" xfId="0" applyFont="1" applyFill="1" applyAlignment="1" applyProtection="1">
      <alignment horizontal="left" vertical="center" wrapText="1"/>
      <protection hidden="1"/>
    </xf>
    <xf numFmtId="0" fontId="7" fillId="3" borderId="0" xfId="0" applyFont="1" applyFill="1" applyAlignment="1" applyProtection="1">
      <alignment horizontal="left" vertical="center" wrapText="1"/>
      <protection hidden="1"/>
    </xf>
    <xf numFmtId="0" fontId="5" fillId="6" borderId="0" xfId="0" applyFont="1" applyFill="1" applyAlignment="1" applyProtection="1">
      <alignment wrapText="1"/>
      <protection hidden="1"/>
    </xf>
    <xf numFmtId="0" fontId="20" fillId="6" borderId="0" xfId="0" applyFont="1" applyFill="1" applyAlignment="1" applyProtection="1">
      <alignment horizontal="left" vertical="center"/>
      <protection hidden="1"/>
    </xf>
    <xf numFmtId="0" fontId="12" fillId="3" borderId="0" xfId="0" applyFont="1" applyFill="1" applyAlignment="1" applyProtection="1">
      <alignment vertical="center"/>
      <protection hidden="1"/>
    </xf>
    <xf numFmtId="0" fontId="16" fillId="3" borderId="0" xfId="0" applyFont="1" applyFill="1" applyAlignment="1" applyProtection="1">
      <alignment horizontal="left" vertical="center" wrapText="1"/>
      <protection hidden="1"/>
    </xf>
    <xf numFmtId="0" fontId="16" fillId="3" borderId="0" xfId="0" applyFont="1" applyFill="1" applyAlignment="1" applyProtection="1">
      <alignment vertical="center" wrapText="1"/>
      <protection hidden="1"/>
    </xf>
    <xf numFmtId="167" fontId="12" fillId="3" borderId="0" xfId="0" applyNumberFormat="1" applyFont="1" applyFill="1" applyAlignment="1" applyProtection="1">
      <alignment vertical="center"/>
      <protection hidden="1"/>
    </xf>
    <xf numFmtId="0" fontId="24" fillId="8" borderId="10" xfId="0" applyFont="1" applyFill="1" applyBorder="1" applyAlignment="1">
      <alignment horizontal="center" vertical="center" wrapText="1"/>
    </xf>
    <xf numFmtId="1" fontId="8" fillId="3" borderId="0" xfId="0" applyNumberFormat="1" applyFont="1" applyFill="1" applyAlignment="1" applyProtection="1">
      <alignment horizontal="center" vertical="center" wrapText="1"/>
      <protection hidden="1"/>
    </xf>
    <xf numFmtId="169" fontId="1" fillId="3" borderId="0" xfId="0" applyNumberFormat="1" applyFont="1" applyFill="1" applyAlignment="1" applyProtection="1">
      <alignment horizontal="left" vertical="center"/>
      <protection hidden="1"/>
    </xf>
    <xf numFmtId="0" fontId="25" fillId="6" borderId="0" xfId="0" applyFont="1" applyFill="1" applyAlignment="1" applyProtection="1">
      <alignment horizontal="center" vertical="center" wrapText="1"/>
      <protection hidden="1"/>
    </xf>
    <xf numFmtId="0" fontId="16" fillId="3" borderId="0" xfId="0" applyFont="1" applyFill="1" applyAlignment="1" applyProtection="1">
      <alignment vertical="center" wrapText="1"/>
      <protection hidden="1"/>
    </xf>
    <xf numFmtId="0" fontId="16" fillId="3" borderId="0" xfId="0" applyFont="1" applyFill="1" applyAlignment="1" applyProtection="1">
      <alignment horizontal="left" vertical="center" wrapText="1"/>
      <protection hidden="1"/>
    </xf>
    <xf numFmtId="0" fontId="16" fillId="3" borderId="0" xfId="0" applyFont="1" applyFill="1" applyAlignment="1" applyProtection="1">
      <alignment horizontal="left" vertical="center" wrapText="1" indent="2"/>
      <protection hidden="1"/>
    </xf>
    <xf numFmtId="0" fontId="4" fillId="6" borderId="0" xfId="0" applyFont="1" applyFill="1" applyAlignment="1" applyProtection="1">
      <alignment horizontal="left" vertical="center"/>
      <protection hidden="1"/>
    </xf>
    <xf numFmtId="169" fontId="12" fillId="3" borderId="0" xfId="0" applyNumberFormat="1" applyFont="1" applyFill="1" applyAlignment="1" applyProtection="1">
      <alignment horizontal="left" vertical="center"/>
      <protection hidden="1"/>
    </xf>
    <xf numFmtId="0" fontId="16" fillId="3" borderId="0" xfId="0" applyFont="1" applyFill="1" applyAlignment="1" applyProtection="1">
      <alignment horizontal="left" vertical="center" indent="2"/>
      <protection hidden="1"/>
    </xf>
    <xf numFmtId="0" fontId="12" fillId="3" borderId="0" xfId="0" applyFont="1" applyFill="1" applyAlignment="1" applyProtection="1">
      <alignment horizontal="center" vertical="center"/>
      <protection hidden="1"/>
    </xf>
    <xf numFmtId="0" fontId="1" fillId="3" borderId="0" xfId="0" applyFont="1" applyFill="1" applyAlignment="1" applyProtection="1">
      <alignment horizontal="left" vertical="center" wrapText="1"/>
      <protection hidden="1"/>
    </xf>
    <xf numFmtId="0" fontId="5" fillId="6" borderId="0" xfId="0" applyFont="1" applyFill="1" applyAlignment="1" applyProtection="1">
      <alignment horizontal="center" wrapText="1"/>
      <protection hidden="1"/>
    </xf>
    <xf numFmtId="0" fontId="1" fillId="4" borderId="0" xfId="0" applyFont="1" applyFill="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hidden="1"/>
    </xf>
    <xf numFmtId="0" fontId="1" fillId="3" borderId="0" xfId="0" applyFont="1" applyFill="1" applyBorder="1" applyAlignment="1" applyProtection="1">
      <alignment horizontal="center" vertical="center" wrapText="1"/>
      <protection hidden="1"/>
    </xf>
    <xf numFmtId="0" fontId="1" fillId="0" borderId="0" xfId="0" applyFont="1" applyFill="1" applyAlignment="1" applyProtection="1">
      <alignment horizontal="center" vertical="center" wrapText="1"/>
    </xf>
    <xf numFmtId="0" fontId="5" fillId="6" borderId="0" xfId="0" applyFont="1" applyFill="1" applyAlignment="1" applyProtection="1">
      <alignment horizontal="center"/>
      <protection hidden="1"/>
    </xf>
    <xf numFmtId="0" fontId="20" fillId="6" borderId="0" xfId="0" applyFont="1" applyFill="1" applyAlignment="1" applyProtection="1">
      <alignment horizontal="center"/>
      <protection hidden="1"/>
    </xf>
    <xf numFmtId="0" fontId="3" fillId="6" borderId="0" xfId="0" applyFont="1" applyFill="1" applyBorder="1" applyAlignment="1" applyProtection="1">
      <alignment horizontal="center" vertical="center" wrapText="1"/>
      <protection hidden="1"/>
    </xf>
    <xf numFmtId="0" fontId="1" fillId="3" borderId="0" xfId="0" applyFont="1" applyFill="1" applyAlignment="1" applyProtection="1">
      <alignment horizontal="center" vertical="center" wrapText="1"/>
      <protection hidden="1"/>
    </xf>
    <xf numFmtId="0" fontId="1" fillId="3" borderId="0" xfId="0" applyFont="1" applyFill="1" applyAlignment="1" applyProtection="1">
      <alignment horizontal="right" vertical="center" wrapText="1"/>
      <protection hidden="1"/>
    </xf>
    <xf numFmtId="0" fontId="7" fillId="3" borderId="0" xfId="0" applyFont="1" applyFill="1" applyAlignment="1" applyProtection="1">
      <alignment horizontal="left" vertical="center" wrapText="1"/>
      <protection hidden="1"/>
    </xf>
    <xf numFmtId="0" fontId="20" fillId="6" borderId="0" xfId="0" applyFont="1" applyFill="1" applyAlignment="1" applyProtection="1">
      <alignment horizontal="right" vertical="center"/>
      <protection hidden="1"/>
    </xf>
    <xf numFmtId="168" fontId="20" fillId="6" borderId="0" xfId="0" applyNumberFormat="1" applyFont="1" applyFill="1" applyAlignment="1" applyProtection="1">
      <alignment horizontal="left" vertical="center"/>
      <protection hidden="1"/>
    </xf>
    <xf numFmtId="164" fontId="1" fillId="3" borderId="0" xfId="0" applyNumberFormat="1" applyFont="1" applyFill="1" applyAlignment="1" applyProtection="1">
      <alignment horizontal="right" vertical="center" wrapText="1"/>
      <protection hidden="1"/>
    </xf>
    <xf numFmtId="0" fontId="3" fillId="6" borderId="0" xfId="0" applyFont="1" applyFill="1" applyBorder="1" applyAlignment="1" applyProtection="1">
      <alignment horizontal="center" vertical="center"/>
      <protection hidden="1"/>
    </xf>
    <xf numFmtId="0" fontId="3" fillId="6" borderId="0" xfId="0" applyFont="1" applyFill="1" applyBorder="1" applyAlignment="1" applyProtection="1">
      <alignment horizontal="left" vertical="center" indent="1"/>
      <protection hidden="1"/>
    </xf>
    <xf numFmtId="0" fontId="7" fillId="3" borderId="0" xfId="0" applyFont="1" applyFill="1" applyAlignment="1" applyProtection="1">
      <alignment horizontal="center" vertical="center" wrapText="1"/>
      <protection hidden="1"/>
    </xf>
    <xf numFmtId="0" fontId="1" fillId="3" borderId="0" xfId="0" applyFont="1" applyFill="1" applyAlignment="1" applyProtection="1">
      <alignment horizontal="center" vertical="center"/>
      <protection hidden="1"/>
    </xf>
    <xf numFmtId="166" fontId="1" fillId="3" borderId="0" xfId="0" applyNumberFormat="1" applyFont="1" applyFill="1" applyAlignment="1" applyProtection="1">
      <alignment horizontal="right" vertical="center" wrapText="1"/>
      <protection hidden="1"/>
    </xf>
    <xf numFmtId="0" fontId="24" fillId="8" borderId="10" xfId="0" applyFont="1" applyFill="1" applyBorder="1" applyAlignment="1">
      <alignment horizontal="center" vertical="center" wrapText="1"/>
    </xf>
    <xf numFmtId="0" fontId="24" fillId="8" borderId="0" xfId="0" applyFont="1" applyFill="1" applyBorder="1" applyAlignment="1">
      <alignment horizontal="center" vertical="center" wrapText="1"/>
    </xf>
    <xf numFmtId="0" fontId="24" fillId="8" borderId="10" xfId="0" applyFont="1" applyFill="1" applyBorder="1" applyAlignment="1">
      <alignment horizontal="left" vertical="center" wrapText="1"/>
    </xf>
    <xf numFmtId="0" fontId="24" fillId="8" borderId="0" xfId="0" applyFont="1" applyFill="1" applyBorder="1" applyAlignment="1">
      <alignment horizontal="left" vertical="center" wrapText="1"/>
    </xf>
    <xf numFmtId="168" fontId="24" fillId="8" borderId="9" xfId="0" applyNumberFormat="1" applyFont="1" applyFill="1" applyBorder="1" applyAlignment="1">
      <alignment horizontal="center" vertical="center" wrapText="1"/>
    </xf>
    <xf numFmtId="2" fontId="22" fillId="7" borderId="9" xfId="0" applyNumberFormat="1" applyFont="1" applyFill="1" applyBorder="1" applyAlignment="1">
      <alignment vertical="center" wrapText="1"/>
    </xf>
  </cellXfs>
  <cellStyles count="2">
    <cellStyle name="Hipervínculo" xfId="1" builtinId="8"/>
    <cellStyle name="Normal" xfId="0" builtinId="0"/>
  </cellStyles>
  <dxfs count="19">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rgb="FFFFFF00"/>
        </patternFill>
      </fill>
    </dxf>
    <dxf>
      <font>
        <color theme="0"/>
      </font>
      <fill>
        <patternFill>
          <bgColor rgb="FFFF0000"/>
        </patternFill>
      </fill>
    </dxf>
    <dxf>
      <fill>
        <patternFill>
          <bgColor rgb="FFFFFF00"/>
        </patternFill>
      </fill>
    </dxf>
    <dxf>
      <font>
        <color theme="0"/>
      </font>
      <fill>
        <patternFill>
          <bgColor rgb="FFFF0000"/>
        </patternFill>
      </fill>
    </dxf>
    <dxf>
      <font>
        <strike val="0"/>
      </font>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theme="0"/>
      </font>
      <fill>
        <patternFill>
          <bgColor rgb="FFFF0000"/>
        </patternFill>
      </fill>
    </dxf>
    <dxf>
      <fill>
        <patternFill>
          <bgColor rgb="FFFFFF00"/>
        </patternFill>
      </fill>
    </dxf>
    <dxf>
      <font>
        <color theme="0"/>
      </font>
      <fill>
        <patternFill>
          <bgColor rgb="FFFF0000"/>
        </patternFill>
      </fill>
    </dxf>
    <dxf>
      <fill>
        <patternFill>
          <bgColor rgb="FFFFFF00"/>
        </patternFill>
      </fill>
    </dxf>
    <dxf>
      <font>
        <color theme="0"/>
      </font>
      <fill>
        <patternFill>
          <bgColor rgb="FFFF0000"/>
        </patternFill>
      </fill>
    </dxf>
    <dxf>
      <fill>
        <patternFill>
          <bgColor rgb="FFFFFF00"/>
        </patternFill>
      </fill>
    </dxf>
  </dxfs>
  <tableStyles count="0" defaultTableStyle="TableStyleMedium2" defaultPivotStyle="PivotStyleLight16"/>
  <colors>
    <mruColors>
      <color rgb="FF173454"/>
      <color rgb="FF1A3757"/>
      <color rgb="FF19385B"/>
      <color rgb="FF173C4D"/>
      <color rgb="FF006666"/>
      <color rgb="FF00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42819</xdr:colOff>
      <xdr:row>4</xdr:row>
      <xdr:rowOff>150030</xdr:rowOff>
    </xdr:to>
    <xdr:pic>
      <xdr:nvPicPr>
        <xdr:cNvPr id="2" name="Imagen 1">
          <a:extLst>
            <a:ext uri="{FF2B5EF4-FFF2-40B4-BE49-F238E27FC236}">
              <a16:creationId xmlns:a16="http://schemas.microsoft.com/office/drawing/2014/main" id="{DFC25416-C25A-43CE-8DFE-6ACDD2FDA1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767094" cy="9421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42819</xdr:colOff>
      <xdr:row>4</xdr:row>
      <xdr:rowOff>189717</xdr:rowOff>
    </xdr:to>
    <xdr:pic>
      <xdr:nvPicPr>
        <xdr:cNvPr id="2" name="Imagen 1">
          <a:extLst>
            <a:ext uri="{FF2B5EF4-FFF2-40B4-BE49-F238E27FC236}">
              <a16:creationId xmlns:a16="http://schemas.microsoft.com/office/drawing/2014/main" id="{05FB3122-CACC-4C2A-8F09-734D6D55D6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09524" cy="9525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325582</xdr:colOff>
      <xdr:row>33</xdr:row>
      <xdr:rowOff>90055</xdr:rowOff>
    </xdr:from>
    <xdr:to>
      <xdr:col>13</xdr:col>
      <xdr:colOff>150813</xdr:colOff>
      <xdr:row>35</xdr:row>
      <xdr:rowOff>124689</xdr:rowOff>
    </xdr:to>
    <xdr:sp macro="" textlink="">
      <xdr:nvSpPr>
        <xdr:cNvPr id="3" name="Flecha: a la derecha con bandas 2">
          <a:extLst>
            <a:ext uri="{FF2B5EF4-FFF2-40B4-BE49-F238E27FC236}">
              <a16:creationId xmlns:a16="http://schemas.microsoft.com/office/drawing/2014/main" id="{73C7F5A0-9628-4663-B867-B19ED47F870A}"/>
            </a:ext>
          </a:extLst>
        </xdr:cNvPr>
        <xdr:cNvSpPr/>
      </xdr:nvSpPr>
      <xdr:spPr>
        <a:xfrm>
          <a:off x="5437332" y="6273368"/>
          <a:ext cx="206231" cy="447384"/>
        </a:xfrm>
        <a:prstGeom prst="stripedRightArrow">
          <a:avLst/>
        </a:prstGeom>
        <a:solidFill>
          <a:srgbClr val="17345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2</xdr:rowOff>
    </xdr:from>
    <xdr:to>
      <xdr:col>7</xdr:col>
      <xdr:colOff>337229</xdr:colOff>
      <xdr:row>4</xdr:row>
      <xdr:rowOff>114385</xdr:rowOff>
    </xdr:to>
    <xdr:pic>
      <xdr:nvPicPr>
        <xdr:cNvPr id="4" name="Imagen 3">
          <a:extLst>
            <a:ext uri="{FF2B5EF4-FFF2-40B4-BE49-F238E27FC236}">
              <a16:creationId xmlns:a16="http://schemas.microsoft.com/office/drawing/2014/main" id="{2C83A7D7-FBA3-41B8-99E8-3B632ECF1D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
          <a:ext cx="3809524" cy="9525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261894</xdr:colOff>
      <xdr:row>4</xdr:row>
      <xdr:rowOff>190583</xdr:rowOff>
    </xdr:to>
    <xdr:pic>
      <xdr:nvPicPr>
        <xdr:cNvPr id="4" name="Imagen 3">
          <a:extLst>
            <a:ext uri="{FF2B5EF4-FFF2-40B4-BE49-F238E27FC236}">
              <a16:creationId xmlns:a16="http://schemas.microsoft.com/office/drawing/2014/main" id="{00444568-9803-409A-90FF-E18D60056E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09524" cy="9525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63500</xdr:colOff>
      <xdr:row>23</xdr:row>
      <xdr:rowOff>7937</xdr:rowOff>
    </xdr:from>
    <xdr:to>
      <xdr:col>8</xdr:col>
      <xdr:colOff>180657</xdr:colOff>
      <xdr:row>25</xdr:row>
      <xdr:rowOff>150812</xdr:rowOff>
    </xdr:to>
    <xdr:sp macro="" textlink="">
      <xdr:nvSpPr>
        <xdr:cNvPr id="2" name="Abrir llave 1">
          <a:extLst>
            <a:ext uri="{FF2B5EF4-FFF2-40B4-BE49-F238E27FC236}">
              <a16:creationId xmlns:a16="http://schemas.microsoft.com/office/drawing/2014/main" id="{73AEF6D9-085C-41FA-8DA8-77641280A7B2}"/>
            </a:ext>
          </a:extLst>
        </xdr:cNvPr>
        <xdr:cNvSpPr/>
      </xdr:nvSpPr>
      <xdr:spPr>
        <a:xfrm>
          <a:off x="3984625" y="3905250"/>
          <a:ext cx="117157" cy="555625"/>
        </a:xfrm>
        <a:prstGeom prst="leftBrace">
          <a:avLst/>
        </a:prstGeom>
        <a:ln w="15875">
          <a:solidFill>
            <a:srgbClr val="173454"/>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ES" sz="1100"/>
        </a:p>
      </xdr:txBody>
    </xdr:sp>
    <xdr:clientData/>
  </xdr:twoCellAnchor>
  <xdr:twoCellAnchor>
    <xdr:from>
      <xdr:col>8</xdr:col>
      <xdr:colOff>63500</xdr:colOff>
      <xdr:row>26</xdr:row>
      <xdr:rowOff>7937</xdr:rowOff>
    </xdr:from>
    <xdr:to>
      <xdr:col>8</xdr:col>
      <xdr:colOff>180657</xdr:colOff>
      <xdr:row>28</xdr:row>
      <xdr:rowOff>150812</xdr:rowOff>
    </xdr:to>
    <xdr:sp macro="" textlink="">
      <xdr:nvSpPr>
        <xdr:cNvPr id="5" name="Abrir llave 4">
          <a:extLst>
            <a:ext uri="{FF2B5EF4-FFF2-40B4-BE49-F238E27FC236}">
              <a16:creationId xmlns:a16="http://schemas.microsoft.com/office/drawing/2014/main" id="{0665F24A-E87C-4348-B573-7ED15B5765D9}"/>
            </a:ext>
          </a:extLst>
        </xdr:cNvPr>
        <xdr:cNvSpPr/>
      </xdr:nvSpPr>
      <xdr:spPr>
        <a:xfrm>
          <a:off x="3984625" y="3905250"/>
          <a:ext cx="117157" cy="555625"/>
        </a:xfrm>
        <a:prstGeom prst="leftBrace">
          <a:avLst/>
        </a:prstGeom>
        <a:ln w="15875">
          <a:solidFill>
            <a:srgbClr val="173454"/>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en.wikipedia.org/wiki/Potassium_sulfate" TargetMode="External"/><Relationship Id="rId2" Type="http://schemas.openxmlformats.org/officeDocument/2006/relationships/hyperlink" Target="https://en.wikipedia.org/wiki/Potassium_dihydrogen_phosphate" TargetMode="External"/><Relationship Id="rId1" Type="http://schemas.openxmlformats.org/officeDocument/2006/relationships/hyperlink" Target="https://en.wikipedia.org/wiki/Potassium_nitrate" TargetMode="External"/><Relationship Id="rId6" Type="http://schemas.openxmlformats.org/officeDocument/2006/relationships/hyperlink" Target="https://en.wikipedia.org/wiki/Magnesium_sulfate" TargetMode="External"/><Relationship Id="rId5" Type="http://schemas.openxmlformats.org/officeDocument/2006/relationships/hyperlink" Target="https://en.wikipedia.org/wiki/Calcium_chloride" TargetMode="External"/><Relationship Id="rId4" Type="http://schemas.openxmlformats.org/officeDocument/2006/relationships/hyperlink" Target="https://en.wikipedia.org/wiki/Potassium_hydrogen_carbon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EFDDB-C456-4DED-99B7-F4B664986A46}">
  <dimension ref="A1:T40"/>
  <sheetViews>
    <sheetView showGridLines="0" tabSelected="1" zoomScale="120" zoomScaleNormal="120" workbookViewId="0">
      <selection activeCell="Y19" sqref="Y19"/>
    </sheetView>
  </sheetViews>
  <sheetFormatPr baseColWidth="10" defaultRowHeight="15" x14ac:dyDescent="0.25"/>
  <cols>
    <col min="1" max="1" width="2.140625" style="1" customWidth="1"/>
    <col min="2" max="4" width="6.7109375" style="1" customWidth="1"/>
    <col min="5" max="5" width="8.7109375" style="1" customWidth="1"/>
    <col min="6" max="7" width="5.7109375" style="1" customWidth="1"/>
    <col min="8" max="9" width="6.7109375" style="1" customWidth="1"/>
    <col min="10" max="10" width="12.5703125" style="1" customWidth="1"/>
    <col min="11" max="11" width="6.7109375" style="1" customWidth="1"/>
    <col min="12" max="12" width="8.7109375" style="1" customWidth="1"/>
    <col min="13" max="13" width="2.5703125" style="1" customWidth="1"/>
    <col min="14" max="14" width="5.7109375" customWidth="1"/>
    <col min="15" max="15" width="7.85546875" customWidth="1"/>
    <col min="16" max="16" width="16.85546875" customWidth="1"/>
    <col min="17" max="17" width="11" customWidth="1"/>
    <col min="18" max="18" width="9.7109375" customWidth="1"/>
    <col min="19" max="19" width="9.42578125" customWidth="1"/>
    <col min="20" max="20" width="2.5703125" customWidth="1"/>
  </cols>
  <sheetData>
    <row r="1" spans="1:20" ht="18" customHeight="1" x14ac:dyDescent="0.25">
      <c r="A1" s="12"/>
      <c r="B1" s="12"/>
      <c r="C1" s="12"/>
      <c r="D1" s="12"/>
      <c r="E1" s="12"/>
      <c r="F1" s="13"/>
      <c r="G1" s="13"/>
      <c r="H1" s="13"/>
      <c r="I1" s="13"/>
      <c r="J1" s="75" t="s">
        <v>145</v>
      </c>
      <c r="K1" s="75"/>
      <c r="L1" s="75"/>
      <c r="M1" s="75"/>
      <c r="N1" s="75"/>
      <c r="O1" s="75"/>
      <c r="P1" s="75"/>
      <c r="Q1" s="75"/>
      <c r="R1" s="75"/>
      <c r="S1" s="66"/>
      <c r="T1" s="66"/>
    </row>
    <row r="2" spans="1:20" ht="18" customHeight="1" x14ac:dyDescent="0.25">
      <c r="A2" s="12"/>
      <c r="B2" s="12"/>
      <c r="C2" s="12"/>
      <c r="D2" s="12"/>
      <c r="E2" s="12"/>
      <c r="F2" s="13"/>
      <c r="G2" s="13"/>
      <c r="H2" s="13"/>
      <c r="I2" s="13"/>
      <c r="J2" s="75"/>
      <c r="K2" s="75"/>
      <c r="L2" s="75"/>
      <c r="M2" s="75"/>
      <c r="N2" s="75"/>
      <c r="O2" s="75"/>
      <c r="P2" s="75"/>
      <c r="Q2" s="75"/>
      <c r="R2" s="75"/>
      <c r="S2" s="66"/>
      <c r="T2" s="66"/>
    </row>
    <row r="3" spans="1:20" ht="15.75" customHeight="1" x14ac:dyDescent="0.25">
      <c r="A3" s="12"/>
      <c r="B3" s="12"/>
      <c r="C3" s="12"/>
      <c r="D3" s="12"/>
      <c r="E3" s="12"/>
      <c r="F3" s="13"/>
      <c r="G3" s="13"/>
      <c r="H3" s="13"/>
      <c r="I3" s="13"/>
      <c r="J3" s="75"/>
      <c r="K3" s="75"/>
      <c r="L3" s="75"/>
      <c r="M3" s="75"/>
      <c r="N3" s="75"/>
      <c r="O3" s="75"/>
      <c r="P3" s="75"/>
      <c r="Q3" s="75"/>
      <c r="R3" s="75"/>
      <c r="S3" s="66"/>
      <c r="T3" s="66"/>
    </row>
    <row r="4" spans="1:20" ht="11.1" customHeight="1" x14ac:dyDescent="0.25">
      <c r="A4" s="12"/>
      <c r="B4" s="12"/>
      <c r="C4" s="12"/>
      <c r="D4" s="12"/>
      <c r="E4" s="12"/>
      <c r="F4" s="13"/>
      <c r="G4" s="13"/>
      <c r="H4" s="13"/>
      <c r="I4" s="13"/>
      <c r="J4" s="75"/>
      <c r="K4" s="75"/>
      <c r="L4" s="75"/>
      <c r="M4" s="75"/>
      <c r="N4" s="75"/>
      <c r="O4" s="75"/>
      <c r="P4" s="75"/>
      <c r="Q4" s="75"/>
      <c r="R4" s="75"/>
      <c r="S4" s="66"/>
      <c r="T4" s="66"/>
    </row>
    <row r="5" spans="1:20" ht="15" customHeight="1" x14ac:dyDescent="0.25">
      <c r="A5" s="12"/>
      <c r="B5" s="12"/>
      <c r="C5" s="12"/>
      <c r="D5" s="12"/>
      <c r="E5" s="12"/>
      <c r="F5" s="13"/>
      <c r="G5" s="13"/>
      <c r="H5" s="13"/>
      <c r="I5" s="13"/>
      <c r="J5" s="75"/>
      <c r="K5" s="75"/>
      <c r="L5" s="75"/>
      <c r="M5" s="75"/>
      <c r="N5" s="75"/>
      <c r="O5" s="75"/>
      <c r="P5" s="75"/>
      <c r="Q5" s="75"/>
      <c r="R5" s="75"/>
      <c r="S5" s="66"/>
      <c r="T5" s="66"/>
    </row>
    <row r="6" spans="1:20" ht="8.1" customHeight="1" x14ac:dyDescent="0.25">
      <c r="A6" s="13"/>
      <c r="B6" s="79" t="s">
        <v>86</v>
      </c>
      <c r="C6" s="79"/>
      <c r="D6" s="79"/>
      <c r="E6" s="79"/>
      <c r="F6" s="79"/>
      <c r="G6" s="40"/>
      <c r="H6" s="40"/>
      <c r="I6" s="40"/>
      <c r="J6" s="40"/>
      <c r="K6" s="40"/>
      <c r="L6" s="40"/>
      <c r="M6" s="40"/>
      <c r="N6" s="79" t="s">
        <v>144</v>
      </c>
      <c r="O6" s="79"/>
      <c r="P6" s="79"/>
      <c r="Q6" s="79"/>
      <c r="R6" s="79"/>
      <c r="S6" s="66"/>
      <c r="T6" s="66"/>
    </row>
    <row r="7" spans="1:20" ht="16.5" customHeight="1" x14ac:dyDescent="0.25">
      <c r="A7" s="13"/>
      <c r="B7" s="79"/>
      <c r="C7" s="79"/>
      <c r="D7" s="79"/>
      <c r="E7" s="79"/>
      <c r="F7" s="79"/>
      <c r="G7" s="40"/>
      <c r="H7" s="40"/>
      <c r="I7" s="40"/>
      <c r="J7" s="40"/>
      <c r="K7" s="40"/>
      <c r="L7" s="40"/>
      <c r="M7" s="40"/>
      <c r="N7" s="79"/>
      <c r="O7" s="79"/>
      <c r="P7" s="79"/>
      <c r="Q7" s="79"/>
      <c r="R7" s="79"/>
      <c r="S7" s="67"/>
      <c r="T7" s="67"/>
    </row>
    <row r="8" spans="1:20" ht="8.1" customHeight="1" x14ac:dyDescent="0.25">
      <c r="A8" s="13"/>
      <c r="B8" s="79"/>
      <c r="C8" s="79"/>
      <c r="D8" s="79"/>
      <c r="E8" s="79"/>
      <c r="F8" s="79"/>
      <c r="G8" s="40"/>
      <c r="H8" s="40"/>
      <c r="I8" s="40"/>
      <c r="J8" s="40"/>
      <c r="K8" s="40"/>
      <c r="L8" s="40"/>
      <c r="M8" s="40"/>
      <c r="N8" s="79"/>
      <c r="O8" s="79"/>
      <c r="P8" s="79"/>
      <c r="Q8" s="79"/>
      <c r="R8" s="79"/>
      <c r="S8" s="13"/>
      <c r="T8" s="13"/>
    </row>
    <row r="9" spans="1:20" ht="8.1" customHeight="1" x14ac:dyDescent="0.25">
      <c r="A9" s="16"/>
      <c r="B9" s="16"/>
      <c r="C9" s="16"/>
      <c r="D9" s="16"/>
      <c r="E9" s="16"/>
      <c r="F9" s="16"/>
      <c r="G9" s="16"/>
      <c r="H9" s="16"/>
      <c r="I9" s="16"/>
      <c r="J9" s="16"/>
      <c r="K9" s="16"/>
      <c r="L9" s="16"/>
      <c r="M9" s="16"/>
      <c r="N9" s="68"/>
      <c r="O9" s="68"/>
      <c r="P9" s="68"/>
      <c r="Q9" s="68"/>
      <c r="R9" s="68"/>
      <c r="S9" s="68"/>
      <c r="T9" s="68"/>
    </row>
    <row r="10" spans="1:20" ht="14.25" customHeight="1" x14ac:dyDescent="0.25">
      <c r="A10" s="16"/>
      <c r="B10" s="77" t="s">
        <v>146</v>
      </c>
      <c r="C10" s="77"/>
      <c r="D10" s="77"/>
      <c r="E10" s="77"/>
      <c r="F10" s="77"/>
      <c r="G10" s="77"/>
      <c r="H10" s="77"/>
      <c r="I10" s="77"/>
      <c r="J10" s="77"/>
      <c r="K10" s="77"/>
      <c r="L10" s="77"/>
      <c r="M10" s="36"/>
      <c r="N10" s="68" t="s">
        <v>161</v>
      </c>
      <c r="O10" s="68"/>
      <c r="P10" s="68"/>
      <c r="Q10" s="80">
        <f>NPK!F32</f>
        <v>100</v>
      </c>
      <c r="R10" s="80"/>
      <c r="S10" s="68"/>
      <c r="T10" s="68"/>
    </row>
    <row r="11" spans="1:20" ht="14.25" customHeight="1" x14ac:dyDescent="0.25">
      <c r="A11" s="16"/>
      <c r="B11" s="77"/>
      <c r="C11" s="77"/>
      <c r="D11" s="77"/>
      <c r="E11" s="77"/>
      <c r="F11" s="77"/>
      <c r="G11" s="77"/>
      <c r="H11" s="77"/>
      <c r="I11" s="77"/>
      <c r="J11" s="77"/>
      <c r="K11" s="77"/>
      <c r="L11" s="77"/>
      <c r="M11" s="36"/>
      <c r="N11" s="68"/>
      <c r="O11" s="68"/>
      <c r="P11" s="68"/>
      <c r="Q11" s="68"/>
      <c r="R11" s="68"/>
      <c r="S11" s="68"/>
      <c r="T11" s="68"/>
    </row>
    <row r="12" spans="1:20" ht="14.25" customHeight="1" x14ac:dyDescent="0.25">
      <c r="A12" s="16"/>
      <c r="B12" s="81" t="s">
        <v>87</v>
      </c>
      <c r="C12" s="81"/>
      <c r="D12" s="81"/>
      <c r="E12" s="38" t="s">
        <v>105</v>
      </c>
      <c r="F12" s="36"/>
      <c r="G12" s="36"/>
      <c r="H12" s="36"/>
      <c r="I12" s="36"/>
      <c r="J12" s="36"/>
      <c r="K12" s="36"/>
      <c r="L12" s="36"/>
      <c r="M12" s="36"/>
      <c r="N12" s="68" t="s">
        <v>143</v>
      </c>
      <c r="O12" s="68"/>
      <c r="P12" s="68"/>
      <c r="Q12" s="68"/>
      <c r="R12" s="17"/>
      <c r="S12" s="17"/>
      <c r="T12" s="68"/>
    </row>
    <row r="13" spans="1:20" ht="14.25" customHeight="1" x14ac:dyDescent="0.25">
      <c r="A13" s="16"/>
      <c r="B13" s="81" t="s">
        <v>88</v>
      </c>
      <c r="C13" s="81"/>
      <c r="D13" s="81"/>
      <c r="E13" s="38" t="s">
        <v>90</v>
      </c>
      <c r="F13" s="36"/>
      <c r="G13" s="36"/>
      <c r="H13" s="36"/>
      <c r="I13" s="36"/>
      <c r="J13" s="36"/>
      <c r="K13" s="36"/>
      <c r="L13" s="36"/>
      <c r="M13" s="36"/>
      <c r="N13" s="68"/>
      <c r="O13" s="23" t="s">
        <v>169</v>
      </c>
      <c r="P13" s="68"/>
      <c r="Q13" s="68"/>
      <c r="R13" s="23" t="str">
        <f>CONCATENATE(NPK!E12," g en ",NPK!E11," ml")</f>
        <v>25 g en 350 ml</v>
      </c>
      <c r="S13" s="9"/>
      <c r="T13" s="68"/>
    </row>
    <row r="14" spans="1:20" ht="14.25" customHeight="1" x14ac:dyDescent="0.25">
      <c r="A14" s="16"/>
      <c r="B14" s="81" t="s">
        <v>89</v>
      </c>
      <c r="C14" s="81"/>
      <c r="D14" s="81"/>
      <c r="E14" s="38" t="s">
        <v>91</v>
      </c>
      <c r="F14" s="36"/>
      <c r="G14" s="36"/>
      <c r="H14" s="36"/>
      <c r="I14" s="36"/>
      <c r="J14" s="36"/>
      <c r="K14" s="36"/>
      <c r="L14" s="36"/>
      <c r="M14" s="36"/>
      <c r="N14" s="68"/>
      <c r="O14" s="23" t="s">
        <v>170</v>
      </c>
      <c r="P14" s="68"/>
      <c r="Q14" s="68"/>
      <c r="R14" s="23" t="str">
        <f>CONCATENATE(NPK!K12," g en ",NPK!K11," ml")</f>
        <v>10 g en 350 ml</v>
      </c>
      <c r="S14" s="9"/>
      <c r="T14" s="68"/>
    </row>
    <row r="15" spans="1:20" ht="14.25" customHeight="1" x14ac:dyDescent="0.25">
      <c r="A15" s="16"/>
      <c r="B15" s="77" t="s">
        <v>100</v>
      </c>
      <c r="C15" s="77"/>
      <c r="D15" s="77"/>
      <c r="E15" s="77"/>
      <c r="F15" s="77"/>
      <c r="G15" s="77"/>
      <c r="H15" s="77"/>
      <c r="I15" s="77"/>
      <c r="J15" s="77"/>
      <c r="K15" s="77"/>
      <c r="L15" s="77"/>
      <c r="M15" s="36"/>
      <c r="N15" s="68"/>
      <c r="O15" s="23" t="s">
        <v>171</v>
      </c>
      <c r="P15" s="68"/>
      <c r="Q15" s="68"/>
      <c r="R15" s="23" t="str">
        <f>CONCATENATE(NPK!Q12," g en ",NPK!Q11," ml")</f>
        <v>30 g en 500 ml</v>
      </c>
      <c r="S15" s="9"/>
      <c r="T15" s="68"/>
    </row>
    <row r="16" spans="1:20" ht="14.25" customHeight="1" x14ac:dyDescent="0.25">
      <c r="A16" s="16"/>
      <c r="B16" s="77"/>
      <c r="C16" s="77"/>
      <c r="D16" s="77"/>
      <c r="E16" s="77"/>
      <c r="F16" s="77"/>
      <c r="G16" s="77"/>
      <c r="H16" s="77"/>
      <c r="I16" s="77"/>
      <c r="J16" s="77"/>
      <c r="K16" s="77"/>
      <c r="L16" s="77"/>
      <c r="M16" s="36"/>
      <c r="N16" s="68"/>
      <c r="O16" s="68"/>
      <c r="P16" s="68"/>
      <c r="Q16" s="68"/>
      <c r="R16" s="68"/>
      <c r="S16" s="68"/>
      <c r="T16" s="68"/>
    </row>
    <row r="17" spans="1:20" ht="14.25" customHeight="1" x14ac:dyDescent="0.25">
      <c r="A17" s="16"/>
      <c r="B17" s="77" t="s">
        <v>109</v>
      </c>
      <c r="C17" s="77"/>
      <c r="D17" s="77"/>
      <c r="E17" s="77"/>
      <c r="F17" s="77"/>
      <c r="G17" s="77"/>
      <c r="H17" s="77"/>
      <c r="I17" s="77"/>
      <c r="J17" s="77"/>
      <c r="K17" s="77"/>
      <c r="L17" s="77"/>
      <c r="M17" s="36"/>
      <c r="N17" s="68"/>
      <c r="O17" s="68" t="s">
        <v>82</v>
      </c>
      <c r="P17" s="68"/>
      <c r="Q17" s="68"/>
      <c r="R17" s="68"/>
      <c r="S17" s="68"/>
      <c r="T17" s="68"/>
    </row>
    <row r="18" spans="1:20" ht="14.25" customHeight="1" x14ac:dyDescent="0.25">
      <c r="A18" s="16"/>
      <c r="B18" s="77"/>
      <c r="C18" s="77"/>
      <c r="D18" s="77"/>
      <c r="E18" s="77"/>
      <c r="F18" s="77"/>
      <c r="G18" s="77"/>
      <c r="H18" s="77"/>
      <c r="I18" s="77"/>
      <c r="J18" s="77"/>
      <c r="K18" s="77"/>
      <c r="L18" s="77"/>
      <c r="M18" s="36"/>
      <c r="N18" s="68"/>
      <c r="O18" s="68"/>
      <c r="P18" s="29" t="s">
        <v>78</v>
      </c>
      <c r="Q18" s="11">
        <f>NPK!Q34</f>
        <v>15.979565485953529</v>
      </c>
      <c r="R18" s="16" t="s">
        <v>0</v>
      </c>
      <c r="S18" s="68"/>
      <c r="T18" s="68"/>
    </row>
    <row r="19" spans="1:20" ht="14.25" customHeight="1" x14ac:dyDescent="0.25">
      <c r="A19" s="16"/>
      <c r="B19" s="77"/>
      <c r="C19" s="77"/>
      <c r="D19" s="77"/>
      <c r="E19" s="77"/>
      <c r="F19" s="77"/>
      <c r="G19" s="77"/>
      <c r="H19" s="77"/>
      <c r="I19" s="77"/>
      <c r="J19" s="77"/>
      <c r="K19" s="77"/>
      <c r="L19" s="77"/>
      <c r="M19" s="36"/>
      <c r="N19" s="68"/>
      <c r="O19" s="68"/>
      <c r="P19" s="29" t="s">
        <v>79</v>
      </c>
      <c r="Q19" s="11">
        <f>NPK!Q35</f>
        <v>4.0121636619024255</v>
      </c>
      <c r="R19" s="16" t="s">
        <v>0</v>
      </c>
      <c r="S19" s="68"/>
      <c r="T19" s="68"/>
    </row>
    <row r="20" spans="1:20" ht="14.25" customHeight="1" x14ac:dyDescent="0.25">
      <c r="A20" s="16"/>
      <c r="B20" s="77"/>
      <c r="C20" s="77"/>
      <c r="D20" s="77"/>
      <c r="E20" s="77"/>
      <c r="F20" s="77"/>
      <c r="G20" s="77"/>
      <c r="H20" s="77"/>
      <c r="I20" s="77"/>
      <c r="J20" s="77"/>
      <c r="K20" s="77"/>
      <c r="L20" s="77"/>
      <c r="M20" s="36"/>
      <c r="N20" s="68"/>
      <c r="O20" s="68"/>
      <c r="P20" s="29" t="s">
        <v>81</v>
      </c>
      <c r="Q20" s="11">
        <f>NPK!Q36</f>
        <v>0</v>
      </c>
      <c r="R20" s="16" t="s">
        <v>0</v>
      </c>
      <c r="S20" s="68"/>
      <c r="T20" s="68"/>
    </row>
    <row r="21" spans="1:20" ht="14.25" customHeight="1" x14ac:dyDescent="0.25">
      <c r="A21" s="16"/>
      <c r="B21" s="77"/>
      <c r="C21" s="77"/>
      <c r="D21" s="77"/>
      <c r="E21" s="77"/>
      <c r="F21" s="77"/>
      <c r="G21" s="77"/>
      <c r="H21" s="77"/>
      <c r="I21" s="77"/>
      <c r="J21" s="77"/>
      <c r="K21" s="77"/>
      <c r="L21" s="77"/>
      <c r="M21" s="16"/>
      <c r="N21" s="16"/>
      <c r="O21" s="68"/>
      <c r="P21" s="68"/>
      <c r="Q21" s="68"/>
      <c r="R21" s="68"/>
      <c r="S21" s="68"/>
      <c r="T21" s="68"/>
    </row>
    <row r="22" spans="1:20" ht="14.25" customHeight="1" x14ac:dyDescent="0.25">
      <c r="A22" s="16"/>
      <c r="B22" s="77" t="s">
        <v>147</v>
      </c>
      <c r="C22" s="77"/>
      <c r="D22" s="77"/>
      <c r="E22" s="77"/>
      <c r="F22" s="77"/>
      <c r="G22" s="77"/>
      <c r="H22" s="77"/>
      <c r="I22" s="77"/>
      <c r="J22" s="77"/>
      <c r="K22" s="77"/>
      <c r="L22" s="77"/>
      <c r="M22" s="16"/>
      <c r="N22" s="68" t="str">
        <f>CONCATENATE("Corrección de KH (incremento de ",kH!E11-kH!E10,")")</f>
        <v>Corrección de KH (incremento de 2)</v>
      </c>
      <c r="O22" s="68"/>
      <c r="P22" s="68"/>
      <c r="Q22" s="68"/>
      <c r="R22" s="68"/>
      <c r="S22" s="68"/>
      <c r="T22" s="68"/>
    </row>
    <row r="23" spans="1:20" ht="14.25" customHeight="1" x14ac:dyDescent="0.25">
      <c r="A23" s="16"/>
      <c r="B23" s="77"/>
      <c r="C23" s="77"/>
      <c r="D23" s="77"/>
      <c r="E23" s="77"/>
      <c r="F23" s="77"/>
      <c r="G23" s="77"/>
      <c r="H23" s="77"/>
      <c r="I23" s="77"/>
      <c r="J23" s="77"/>
      <c r="K23" s="77"/>
      <c r="L23" s="77"/>
      <c r="M23" s="16"/>
      <c r="N23" s="16"/>
      <c r="O23" s="23" t="s">
        <v>168</v>
      </c>
      <c r="P23" s="68"/>
      <c r="Q23" s="68"/>
      <c r="R23" s="74">
        <f>kH!E9</f>
        <v>30</v>
      </c>
      <c r="S23" s="74"/>
      <c r="T23" s="68"/>
    </row>
    <row r="24" spans="1:20" ht="14.25" customHeight="1" x14ac:dyDescent="0.25">
      <c r="A24" s="16"/>
      <c r="B24" s="47" t="s">
        <v>148</v>
      </c>
      <c r="C24" s="37" t="s">
        <v>150</v>
      </c>
      <c r="D24" s="37"/>
      <c r="E24" s="38"/>
      <c r="F24" s="36"/>
      <c r="G24" s="36"/>
      <c r="H24" s="36"/>
      <c r="I24" s="36"/>
      <c r="J24" s="36"/>
      <c r="K24" s="36"/>
      <c r="L24" s="36"/>
      <c r="M24" s="16"/>
      <c r="N24" s="16"/>
      <c r="O24" s="23" t="s">
        <v>163</v>
      </c>
      <c r="P24" s="16"/>
      <c r="Q24" s="16"/>
      <c r="R24" s="23" t="str">
        <f>CONCATENATE(kH!M26," g en ",kH!E22," ml")</f>
        <v>71.22 g en 500 ml</v>
      </c>
      <c r="S24" s="16"/>
      <c r="T24" s="68"/>
    </row>
    <row r="25" spans="1:20" ht="14.25" customHeight="1" x14ac:dyDescent="0.25">
      <c r="A25" s="16"/>
      <c r="B25" s="47" t="s">
        <v>149</v>
      </c>
      <c r="C25" s="37" t="s">
        <v>98</v>
      </c>
      <c r="D25" s="37"/>
      <c r="E25" s="38"/>
      <c r="F25" s="36"/>
      <c r="G25" s="36"/>
      <c r="H25" s="36"/>
      <c r="I25" s="36"/>
      <c r="J25" s="36"/>
      <c r="K25" s="36"/>
      <c r="L25" s="36"/>
      <c r="M25" s="16"/>
      <c r="N25" s="16"/>
      <c r="O25" s="16"/>
      <c r="P25" s="16"/>
      <c r="Q25" s="16"/>
      <c r="R25" s="17"/>
      <c r="S25" s="17"/>
      <c r="T25" s="68"/>
    </row>
    <row r="26" spans="1:20" s="3" customFormat="1" ht="14.25" customHeight="1" x14ac:dyDescent="0.2">
      <c r="A26" s="36"/>
      <c r="B26" s="16"/>
      <c r="C26" s="37" t="s">
        <v>151</v>
      </c>
      <c r="D26" s="36"/>
      <c r="E26" s="6"/>
      <c r="F26" s="16"/>
      <c r="G26" s="16"/>
      <c r="H26" s="16"/>
      <c r="I26" s="65"/>
      <c r="J26" s="17"/>
      <c r="K26" s="17"/>
      <c r="L26" s="6"/>
      <c r="M26" s="16"/>
      <c r="N26" s="16"/>
      <c r="O26" s="68" t="s">
        <v>172</v>
      </c>
      <c r="P26" s="68"/>
      <c r="Q26" s="68"/>
      <c r="R26" s="73">
        <f>kH!E23</f>
        <v>15</v>
      </c>
      <c r="S26" s="16" t="s">
        <v>0</v>
      </c>
      <c r="T26" s="68"/>
    </row>
    <row r="27" spans="1:20" s="3" customFormat="1" ht="14.25" customHeight="1" x14ac:dyDescent="0.2">
      <c r="A27" s="36"/>
      <c r="B27" s="37" t="s">
        <v>152</v>
      </c>
      <c r="C27" s="16"/>
      <c r="D27" s="17"/>
      <c r="E27" s="6"/>
      <c r="F27" s="16"/>
      <c r="G27" s="16"/>
      <c r="H27" s="16"/>
      <c r="I27" s="65"/>
      <c r="J27" s="17"/>
      <c r="K27" s="17"/>
      <c r="L27" s="6"/>
      <c r="M27" s="16"/>
      <c r="N27" s="16"/>
      <c r="O27" s="68"/>
      <c r="P27" s="68"/>
      <c r="Q27" s="68"/>
      <c r="R27" s="68"/>
      <c r="S27" s="68"/>
      <c r="T27" s="68"/>
    </row>
    <row r="28" spans="1:20" s="3" customFormat="1" ht="14.25" customHeight="1" x14ac:dyDescent="0.2">
      <c r="A28" s="36"/>
      <c r="B28" s="77" t="s">
        <v>153</v>
      </c>
      <c r="C28" s="77"/>
      <c r="D28" s="77"/>
      <c r="E28" s="77"/>
      <c r="F28" s="77"/>
      <c r="G28" s="77"/>
      <c r="H28" s="77"/>
      <c r="I28" s="77"/>
      <c r="J28" s="77"/>
      <c r="K28" s="77"/>
      <c r="L28" s="77"/>
      <c r="M28" s="16"/>
      <c r="N28" s="68" t="str">
        <f>CONCATENATE("Corrección de GH (incremento de ",gH!E11-gH!E10,")")</f>
        <v>Corrección de GH (incremento de 5)</v>
      </c>
      <c r="O28" s="68"/>
      <c r="P28" s="68"/>
      <c r="Q28" s="68"/>
      <c r="R28" s="68"/>
      <c r="S28" s="68"/>
      <c r="T28" s="68"/>
    </row>
    <row r="29" spans="1:20" s="3" customFormat="1" ht="14.25" customHeight="1" x14ac:dyDescent="0.2">
      <c r="A29" s="36"/>
      <c r="B29" s="77"/>
      <c r="C29" s="77"/>
      <c r="D29" s="77"/>
      <c r="E29" s="77"/>
      <c r="F29" s="77"/>
      <c r="G29" s="77"/>
      <c r="H29" s="77"/>
      <c r="I29" s="77"/>
      <c r="J29" s="77"/>
      <c r="K29" s="77"/>
      <c r="L29" s="77"/>
      <c r="M29" s="16"/>
      <c r="N29" s="16"/>
      <c r="O29" s="23" t="s">
        <v>168</v>
      </c>
      <c r="P29" s="68"/>
      <c r="Q29" s="68"/>
      <c r="R29" s="74">
        <f>gH!E9</f>
        <v>30</v>
      </c>
      <c r="S29" s="74"/>
      <c r="T29" s="16"/>
    </row>
    <row r="30" spans="1:20" s="3" customFormat="1" ht="14.25" customHeight="1" x14ac:dyDescent="0.2">
      <c r="A30" s="36"/>
      <c r="B30" s="77" t="s">
        <v>154</v>
      </c>
      <c r="C30" s="77"/>
      <c r="D30" s="77"/>
      <c r="E30" s="77"/>
      <c r="F30" s="77"/>
      <c r="G30" s="77"/>
      <c r="H30" s="77"/>
      <c r="I30" s="77"/>
      <c r="J30" s="77"/>
      <c r="K30" s="77"/>
      <c r="L30" s="77"/>
      <c r="M30" s="16"/>
      <c r="N30" s="16"/>
      <c r="O30" s="18" t="s">
        <v>164</v>
      </c>
      <c r="P30" s="42"/>
      <c r="Q30" s="42"/>
      <c r="R30" s="23" t="str">
        <f>CONCATENATE(gH!D28," g en ",gH!D24," ml")</f>
        <v>51.81 g en 350 ml</v>
      </c>
      <c r="S30" s="68"/>
      <c r="T30" s="68"/>
    </row>
    <row r="31" spans="1:20" s="3" customFormat="1" ht="14.25" customHeight="1" x14ac:dyDescent="0.2">
      <c r="A31" s="36"/>
      <c r="B31" s="77"/>
      <c r="C31" s="77"/>
      <c r="D31" s="77"/>
      <c r="E31" s="77"/>
      <c r="F31" s="77"/>
      <c r="G31" s="77"/>
      <c r="H31" s="77"/>
      <c r="I31" s="77"/>
      <c r="J31" s="77"/>
      <c r="K31" s="77"/>
      <c r="L31" s="77"/>
      <c r="M31" s="16"/>
      <c r="N31" s="16"/>
      <c r="O31" s="18" t="s">
        <v>165</v>
      </c>
      <c r="P31" s="68"/>
      <c r="Q31" s="68"/>
      <c r="R31" s="23" t="str">
        <f>CONCATENATE(gH!D29," g en ",gH!D24," ml")</f>
        <v>38.35 g en 350 ml</v>
      </c>
      <c r="S31" s="17"/>
      <c r="T31" s="36"/>
    </row>
    <row r="32" spans="1:20" s="3" customFormat="1" ht="14.25" customHeight="1" x14ac:dyDescent="0.2">
      <c r="A32" s="36"/>
      <c r="B32" s="77" t="s">
        <v>155</v>
      </c>
      <c r="C32" s="77"/>
      <c r="D32" s="77"/>
      <c r="E32" s="77"/>
      <c r="F32" s="77"/>
      <c r="G32" s="77"/>
      <c r="H32" s="77"/>
      <c r="I32" s="77"/>
      <c r="J32" s="77"/>
      <c r="K32" s="77"/>
      <c r="L32" s="77"/>
      <c r="M32" s="16"/>
      <c r="N32" s="16"/>
      <c r="O32" s="16"/>
      <c r="P32" s="16"/>
      <c r="Q32" s="16"/>
      <c r="R32" s="63"/>
      <c r="S32" s="6"/>
      <c r="T32" s="36"/>
    </row>
    <row r="33" spans="1:20" s="3" customFormat="1" ht="14.25" customHeight="1" x14ac:dyDescent="0.2">
      <c r="A33" s="36"/>
      <c r="B33" s="77"/>
      <c r="C33" s="77"/>
      <c r="D33" s="77"/>
      <c r="E33" s="77"/>
      <c r="F33" s="77"/>
      <c r="G33" s="77"/>
      <c r="H33" s="77"/>
      <c r="I33" s="77"/>
      <c r="J33" s="77"/>
      <c r="K33" s="77"/>
      <c r="L33" s="77"/>
      <c r="M33" s="16"/>
      <c r="N33" s="16"/>
      <c r="O33" s="68" t="s">
        <v>82</v>
      </c>
      <c r="P33" s="68"/>
      <c r="Q33" s="68"/>
      <c r="R33" s="68"/>
      <c r="S33" s="6"/>
      <c r="T33" s="36"/>
    </row>
    <row r="34" spans="1:20" s="3" customFormat="1" ht="14.25" customHeight="1" x14ac:dyDescent="0.2">
      <c r="A34" s="36"/>
      <c r="B34" s="76" t="s">
        <v>156</v>
      </c>
      <c r="C34" s="76"/>
      <c r="D34" s="76"/>
      <c r="E34" s="76"/>
      <c r="F34" s="76"/>
      <c r="G34" s="76"/>
      <c r="H34" s="76"/>
      <c r="I34" s="76"/>
      <c r="J34" s="76"/>
      <c r="K34" s="76"/>
      <c r="L34" s="76"/>
      <c r="M34" s="16"/>
      <c r="N34" s="70"/>
      <c r="O34" s="68"/>
      <c r="P34" s="17" t="s">
        <v>166</v>
      </c>
      <c r="Q34" s="73">
        <f>gH!D25</f>
        <v>15</v>
      </c>
      <c r="R34" s="16" t="s">
        <v>0</v>
      </c>
      <c r="S34" s="16"/>
      <c r="T34" s="36"/>
    </row>
    <row r="35" spans="1:20" s="3" customFormat="1" ht="14.25" customHeight="1" x14ac:dyDescent="0.2">
      <c r="A35" s="36"/>
      <c r="B35" s="78" t="s">
        <v>157</v>
      </c>
      <c r="C35" s="78"/>
      <c r="D35" s="78"/>
      <c r="E35" s="78"/>
      <c r="F35" s="78"/>
      <c r="G35" s="78"/>
      <c r="H35" s="78"/>
      <c r="I35" s="78"/>
      <c r="J35" s="78"/>
      <c r="K35" s="78"/>
      <c r="L35" s="78"/>
      <c r="M35" s="64"/>
      <c r="N35" s="36"/>
      <c r="O35" s="68"/>
      <c r="P35" s="17" t="s">
        <v>167</v>
      </c>
      <c r="Q35" s="73">
        <f>gH!D25</f>
        <v>15</v>
      </c>
      <c r="R35" s="16" t="s">
        <v>0</v>
      </c>
      <c r="S35" s="36"/>
      <c r="T35" s="36"/>
    </row>
    <row r="36" spans="1:20" s="3" customFormat="1" ht="14.25" customHeight="1" x14ac:dyDescent="0.2">
      <c r="A36" s="36"/>
      <c r="B36" s="78" t="s">
        <v>158</v>
      </c>
      <c r="C36" s="78"/>
      <c r="D36" s="78"/>
      <c r="E36" s="78"/>
      <c r="F36" s="78"/>
      <c r="G36" s="78"/>
      <c r="H36" s="78"/>
      <c r="I36" s="78"/>
      <c r="J36" s="78"/>
      <c r="K36" s="78"/>
      <c r="L36" s="78"/>
      <c r="M36" s="64"/>
      <c r="N36" s="36"/>
      <c r="O36" s="70"/>
      <c r="P36" s="70"/>
      <c r="Q36" s="70"/>
      <c r="R36" s="70"/>
      <c r="S36" s="36"/>
      <c r="T36" s="70"/>
    </row>
    <row r="37" spans="1:20" s="3" customFormat="1" ht="14.25" customHeight="1" x14ac:dyDescent="0.2">
      <c r="A37" s="36"/>
      <c r="B37" s="78" t="s">
        <v>159</v>
      </c>
      <c r="C37" s="78"/>
      <c r="D37" s="78"/>
      <c r="E37" s="78"/>
      <c r="F37" s="78"/>
      <c r="G37" s="78"/>
      <c r="H37" s="78"/>
      <c r="I37" s="78"/>
      <c r="J37" s="78"/>
      <c r="K37" s="78"/>
      <c r="L37" s="78"/>
      <c r="M37" s="64"/>
      <c r="N37" s="23" t="s">
        <v>162</v>
      </c>
      <c r="O37" s="68"/>
      <c r="P37" s="68"/>
      <c r="Q37" s="68"/>
      <c r="R37" s="68"/>
      <c r="S37" s="71">
        <v>20</v>
      </c>
      <c r="T37" s="70"/>
    </row>
    <row r="38" spans="1:20" s="3" customFormat="1" ht="14.25" customHeight="1" x14ac:dyDescent="0.2">
      <c r="A38" s="36"/>
      <c r="B38" s="78" t="s">
        <v>160</v>
      </c>
      <c r="C38" s="78"/>
      <c r="D38" s="78"/>
      <c r="E38" s="78"/>
      <c r="F38" s="78"/>
      <c r="G38" s="78"/>
      <c r="H38" s="78"/>
      <c r="I38" s="78"/>
      <c r="J38" s="78"/>
      <c r="K38" s="78"/>
      <c r="L38" s="78"/>
      <c r="M38" s="64"/>
      <c r="N38" s="16"/>
      <c r="O38" s="16"/>
      <c r="P38" s="16"/>
      <c r="Q38" s="16"/>
      <c r="R38" s="16"/>
      <c r="S38" s="16"/>
      <c r="T38" s="70"/>
    </row>
    <row r="39" spans="1:20" s="3" customFormat="1" ht="14.25" customHeight="1" x14ac:dyDescent="0.2">
      <c r="A39" s="70"/>
      <c r="B39" s="76" t="s">
        <v>173</v>
      </c>
      <c r="C39" s="76"/>
      <c r="D39" s="76"/>
      <c r="E39" s="76"/>
      <c r="F39" s="76"/>
      <c r="G39" s="76"/>
      <c r="H39" s="76"/>
      <c r="I39" s="76"/>
      <c r="J39" s="76"/>
      <c r="K39" s="76"/>
      <c r="L39" s="76"/>
      <c r="M39" s="69"/>
      <c r="N39" s="16"/>
      <c r="O39" s="16"/>
      <c r="P39" s="16"/>
      <c r="Q39" s="16"/>
      <c r="R39" s="16"/>
      <c r="S39" s="16"/>
      <c r="T39" s="70"/>
    </row>
    <row r="40" spans="1:20" x14ac:dyDescent="0.25">
      <c r="A40" s="16"/>
      <c r="B40" s="16"/>
      <c r="C40" s="16"/>
      <c r="D40" s="16"/>
      <c r="E40" s="16"/>
      <c r="F40" s="16"/>
      <c r="G40" s="16"/>
      <c r="H40" s="16"/>
      <c r="I40" s="16"/>
      <c r="J40" s="16"/>
      <c r="K40" s="16"/>
      <c r="L40" s="16"/>
      <c r="M40" s="16"/>
      <c r="N40" s="16"/>
      <c r="O40" s="16"/>
      <c r="P40" s="16"/>
      <c r="Q40" s="16"/>
      <c r="R40" s="16"/>
      <c r="S40" s="16"/>
      <c r="T40" s="16"/>
    </row>
  </sheetData>
  <sheetProtection algorithmName="SHA-512" hashValue="bm+v0F1H1z96M+qlJ+mSc3BcIS+6yVFjs14V/exlRtPmwOz3kNFEPpXydCQj/TJORRIyBNwG7qbgA0l8SqbKkQ==" saltValue="1Wy6ewXkhd6HCX3ZWYHvng==" spinCount="100000" sheet="1" formatCells="0" formatColumns="0" formatRows="0" insertColumns="0" insertRows="0" insertHyperlinks="0" deleteColumns="0" deleteRows="0" sort="0" autoFilter="0" pivotTables="0"/>
  <mergeCells count="22">
    <mergeCell ref="R23:S23"/>
    <mergeCell ref="B30:L31"/>
    <mergeCell ref="B12:D12"/>
    <mergeCell ref="B13:D13"/>
    <mergeCell ref="B14:D14"/>
    <mergeCell ref="B6:F8"/>
    <mergeCell ref="R29:S29"/>
    <mergeCell ref="J1:R5"/>
    <mergeCell ref="B39:L39"/>
    <mergeCell ref="B10:L11"/>
    <mergeCell ref="B15:L16"/>
    <mergeCell ref="B17:L21"/>
    <mergeCell ref="B37:L37"/>
    <mergeCell ref="B38:L38"/>
    <mergeCell ref="N6:R8"/>
    <mergeCell ref="Q10:R10"/>
    <mergeCell ref="B32:L33"/>
    <mergeCell ref="B34:L34"/>
    <mergeCell ref="B35:L35"/>
    <mergeCell ref="B36:L36"/>
    <mergeCell ref="B22:L23"/>
    <mergeCell ref="B28:L29"/>
  </mergeCells>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17C21-8C90-4FE6-BCEC-92F51AB52889}">
  <dimension ref="A1:V55"/>
  <sheetViews>
    <sheetView showGridLines="0" showRowColHeaders="0" zoomScale="120" zoomScaleNormal="120" workbookViewId="0">
      <selection activeCell="E11" sqref="E11"/>
    </sheetView>
  </sheetViews>
  <sheetFormatPr baseColWidth="10" defaultRowHeight="15" x14ac:dyDescent="0.25"/>
  <cols>
    <col min="1" max="1" width="2.140625" style="1" customWidth="1"/>
    <col min="2" max="4" width="6.7109375" style="1" customWidth="1"/>
    <col min="5" max="5" width="8.7109375" style="1" customWidth="1"/>
    <col min="6" max="7" width="5.7109375" style="1" customWidth="1"/>
    <col min="8" max="10" width="6.7109375" style="1" customWidth="1"/>
    <col min="11" max="11" width="8.7109375" style="1" customWidth="1"/>
    <col min="12" max="13" width="5.7109375" style="1" customWidth="1"/>
    <col min="14" max="16" width="6.7109375" style="1" customWidth="1"/>
    <col min="17" max="17" width="8.7109375" style="1" customWidth="1"/>
    <col min="18" max="18" width="5.7109375" style="1" customWidth="1"/>
    <col min="19" max="19" width="2.7109375" style="1" customWidth="1"/>
    <col min="20" max="20" width="5.7109375" customWidth="1"/>
    <col min="21" max="21" width="5" customWidth="1"/>
  </cols>
  <sheetData>
    <row r="1" spans="1:19" x14ac:dyDescent="0.25">
      <c r="A1" s="12"/>
      <c r="B1" s="12"/>
      <c r="C1" s="12"/>
      <c r="D1" s="12"/>
      <c r="E1" s="12"/>
      <c r="F1" s="13"/>
      <c r="G1" s="13"/>
      <c r="H1" s="13"/>
      <c r="I1" s="13"/>
      <c r="J1" s="13"/>
      <c r="K1" s="13"/>
      <c r="L1" s="13"/>
      <c r="M1" s="13"/>
      <c r="N1" s="13"/>
      <c r="O1" s="13"/>
      <c r="P1" s="13"/>
      <c r="Q1" s="13"/>
      <c r="R1" s="13"/>
      <c r="S1" s="13"/>
    </row>
    <row r="2" spans="1:19" ht="18" customHeight="1" x14ac:dyDescent="0.25">
      <c r="A2" s="12"/>
      <c r="B2" s="12"/>
      <c r="C2" s="12"/>
      <c r="D2" s="12"/>
      <c r="E2" s="12"/>
      <c r="F2" s="13"/>
      <c r="G2" s="13"/>
      <c r="H2" s="13"/>
      <c r="I2" s="13"/>
      <c r="J2" s="84" t="s">
        <v>77</v>
      </c>
      <c r="K2" s="84"/>
      <c r="L2" s="84"/>
      <c r="M2" s="84"/>
      <c r="N2" s="84"/>
      <c r="O2" s="84"/>
      <c r="P2" s="84"/>
      <c r="Q2" s="84"/>
      <c r="R2" s="84"/>
      <c r="S2" s="13"/>
    </row>
    <row r="3" spans="1:19" ht="15.75" customHeight="1" x14ac:dyDescent="0.25">
      <c r="A3" s="12"/>
      <c r="B3" s="12"/>
      <c r="C3" s="12"/>
      <c r="D3" s="12"/>
      <c r="E3" s="12"/>
      <c r="F3" s="13"/>
      <c r="G3" s="13"/>
      <c r="H3" s="13"/>
      <c r="I3" s="13"/>
      <c r="J3" s="84"/>
      <c r="K3" s="84"/>
      <c r="L3" s="84"/>
      <c r="M3" s="84"/>
      <c r="N3" s="84"/>
      <c r="O3" s="84"/>
      <c r="P3" s="84"/>
      <c r="Q3" s="84"/>
      <c r="R3" s="84"/>
      <c r="S3" s="13"/>
    </row>
    <row r="4" spans="1:19" ht="11.1" customHeight="1" x14ac:dyDescent="0.25">
      <c r="A4" s="12"/>
      <c r="B4" s="12"/>
      <c r="C4" s="12"/>
      <c r="D4" s="12"/>
      <c r="E4" s="12"/>
      <c r="F4" s="13"/>
      <c r="G4" s="13"/>
      <c r="H4" s="13"/>
      <c r="I4" s="13"/>
      <c r="J4" s="14"/>
      <c r="K4" s="15"/>
      <c r="L4" s="15"/>
      <c r="M4" s="15"/>
      <c r="N4" s="15"/>
      <c r="O4" s="15"/>
      <c r="P4" s="15"/>
      <c r="Q4" s="15"/>
      <c r="R4" s="15"/>
      <c r="S4" s="13"/>
    </row>
    <row r="5" spans="1:19" ht="15" customHeight="1" x14ac:dyDescent="0.25">
      <c r="A5" s="12"/>
      <c r="B5" s="12"/>
      <c r="C5" s="12"/>
      <c r="D5" s="12"/>
      <c r="E5" s="12"/>
      <c r="F5" s="13"/>
      <c r="G5" s="13"/>
      <c r="H5" s="13"/>
      <c r="I5" s="13"/>
      <c r="J5" s="15"/>
      <c r="K5" s="15"/>
      <c r="L5" s="15"/>
      <c r="M5" s="15"/>
      <c r="N5" s="15"/>
      <c r="O5" s="15"/>
      <c r="P5" s="15"/>
      <c r="Q5" s="15"/>
      <c r="R5" s="15"/>
      <c r="S5" s="13"/>
    </row>
    <row r="6" spans="1:19" ht="8.1" customHeight="1" x14ac:dyDescent="0.25">
      <c r="A6" s="13"/>
      <c r="B6" s="79" t="s">
        <v>52</v>
      </c>
      <c r="C6" s="79"/>
      <c r="D6" s="79"/>
      <c r="E6" s="79"/>
      <c r="F6" s="79"/>
      <c r="G6" s="40"/>
      <c r="H6" s="40"/>
      <c r="I6" s="40"/>
      <c r="J6" s="40"/>
      <c r="K6" s="40"/>
      <c r="L6" s="59"/>
      <c r="M6" s="59"/>
      <c r="N6" s="59"/>
      <c r="O6" s="59"/>
      <c r="P6" s="59"/>
      <c r="Q6" s="40"/>
      <c r="R6" s="40"/>
      <c r="S6" s="13"/>
    </row>
    <row r="7" spans="1:19" ht="16.5" customHeight="1" x14ac:dyDescent="0.25">
      <c r="A7" s="13"/>
      <c r="B7" s="79"/>
      <c r="C7" s="79"/>
      <c r="D7" s="79"/>
      <c r="E7" s="79"/>
      <c r="F7" s="79"/>
      <c r="G7" s="40"/>
      <c r="H7" s="40"/>
      <c r="I7" s="40"/>
      <c r="J7" s="40"/>
      <c r="K7" s="40"/>
      <c r="L7" s="40"/>
      <c r="M7" s="59"/>
      <c r="N7" s="59"/>
      <c r="O7" s="59"/>
      <c r="P7" s="62" t="s">
        <v>110</v>
      </c>
      <c r="Q7" s="61">
        <v>20</v>
      </c>
      <c r="R7" s="40"/>
      <c r="S7" s="13"/>
    </row>
    <row r="8" spans="1:19" ht="8.1" customHeight="1" x14ac:dyDescent="0.25">
      <c r="A8" s="13"/>
      <c r="B8" s="79"/>
      <c r="C8" s="79"/>
      <c r="D8" s="79"/>
      <c r="E8" s="79"/>
      <c r="F8" s="79"/>
      <c r="G8" s="40"/>
      <c r="H8" s="40"/>
      <c r="I8" s="40"/>
      <c r="J8" s="40"/>
      <c r="K8" s="40"/>
      <c r="L8" s="40"/>
      <c r="M8" s="59"/>
      <c r="N8" s="59"/>
      <c r="O8" s="59"/>
      <c r="P8" s="59"/>
      <c r="Q8" s="60"/>
      <c r="R8" s="40"/>
      <c r="S8" s="13"/>
    </row>
    <row r="9" spans="1:19" ht="8.1" customHeight="1" x14ac:dyDescent="0.25">
      <c r="A9" s="16"/>
      <c r="B9" s="16"/>
      <c r="C9" s="16"/>
      <c r="D9" s="16"/>
      <c r="E9" s="16"/>
      <c r="F9" s="16"/>
      <c r="G9" s="16"/>
      <c r="H9" s="16"/>
      <c r="I9" s="16"/>
      <c r="J9" s="16"/>
      <c r="K9" s="16"/>
      <c r="L9" s="16"/>
      <c r="M9" s="16"/>
      <c r="N9" s="16"/>
      <c r="O9" s="16"/>
      <c r="P9" s="16"/>
      <c r="Q9" s="16"/>
      <c r="R9" s="16"/>
      <c r="S9" s="16"/>
    </row>
    <row r="10" spans="1:19" ht="17.25" x14ac:dyDescent="0.25">
      <c r="A10" s="16"/>
      <c r="B10" s="82" t="s">
        <v>51</v>
      </c>
      <c r="C10" s="82"/>
      <c r="D10" s="82"/>
      <c r="E10" s="82"/>
      <c r="F10" s="82"/>
      <c r="G10" s="16"/>
      <c r="H10" s="82" t="s">
        <v>76</v>
      </c>
      <c r="I10" s="82"/>
      <c r="J10" s="82"/>
      <c r="K10" s="82"/>
      <c r="L10" s="82"/>
      <c r="M10" s="16"/>
      <c r="N10" s="82" t="s">
        <v>44</v>
      </c>
      <c r="O10" s="82"/>
      <c r="P10" s="82"/>
      <c r="Q10" s="82"/>
      <c r="R10" s="82"/>
      <c r="S10" s="16"/>
    </row>
    <row r="11" spans="1:19" ht="19.899999999999999" customHeight="1" x14ac:dyDescent="0.25">
      <c r="A11" s="16"/>
      <c r="B11" s="16"/>
      <c r="C11" s="16"/>
      <c r="D11" s="17" t="s">
        <v>27</v>
      </c>
      <c r="E11" s="5">
        <v>350</v>
      </c>
      <c r="F11" s="16" t="s">
        <v>0</v>
      </c>
      <c r="G11" s="16"/>
      <c r="H11" s="16"/>
      <c r="I11" s="18"/>
      <c r="J11" s="17" t="s">
        <v>2</v>
      </c>
      <c r="K11" s="5">
        <v>350</v>
      </c>
      <c r="L11" s="16" t="s">
        <v>0</v>
      </c>
      <c r="M11" s="16"/>
      <c r="N11" s="16"/>
      <c r="O11" s="16"/>
      <c r="P11" s="17" t="s">
        <v>2</v>
      </c>
      <c r="Q11" s="5">
        <v>500</v>
      </c>
      <c r="R11" s="16" t="s">
        <v>0</v>
      </c>
      <c r="S11" s="16"/>
    </row>
    <row r="12" spans="1:19" ht="15" customHeight="1" x14ac:dyDescent="0.25">
      <c r="A12" s="16"/>
      <c r="B12" s="16"/>
      <c r="C12" s="16"/>
      <c r="D12" s="17" t="s">
        <v>45</v>
      </c>
      <c r="E12" s="5">
        <v>25</v>
      </c>
      <c r="F12" s="16" t="s">
        <v>17</v>
      </c>
      <c r="G12" s="16"/>
      <c r="H12" s="16"/>
      <c r="I12" s="19"/>
      <c r="J12" s="17" t="s">
        <v>64</v>
      </c>
      <c r="K12" s="5">
        <v>10</v>
      </c>
      <c r="L12" s="16" t="s">
        <v>17</v>
      </c>
      <c r="M12" s="16"/>
      <c r="N12" s="16"/>
      <c r="O12" s="16"/>
      <c r="P12" s="17" t="s">
        <v>65</v>
      </c>
      <c r="Q12" s="5">
        <v>30</v>
      </c>
      <c r="R12" s="16" t="s">
        <v>17</v>
      </c>
      <c r="S12" s="16"/>
    </row>
    <row r="13" spans="1:19" ht="15.6" customHeight="1" x14ac:dyDescent="0.25">
      <c r="A13" s="16"/>
      <c r="B13" s="16"/>
      <c r="C13" s="16"/>
      <c r="D13" s="17" t="s">
        <v>124</v>
      </c>
      <c r="E13" s="63">
        <f>Solubilidad!P5</f>
        <v>315.97800000000001</v>
      </c>
      <c r="F13" s="16" t="s">
        <v>18</v>
      </c>
      <c r="G13" s="16"/>
      <c r="H13" s="16"/>
      <c r="I13" s="49"/>
      <c r="J13" s="17" t="s">
        <v>125</v>
      </c>
      <c r="K13" s="63">
        <f>Solubilidad!P6</f>
        <v>225.25399999999996</v>
      </c>
      <c r="L13" s="16" t="s">
        <v>18</v>
      </c>
      <c r="M13" s="16"/>
      <c r="N13" s="49"/>
      <c r="O13" s="49"/>
      <c r="P13" s="17" t="s">
        <v>126</v>
      </c>
      <c r="Q13" s="63">
        <f>Solubilidad!P7</f>
        <v>111.736</v>
      </c>
      <c r="R13" s="16" t="s">
        <v>18</v>
      </c>
      <c r="S13" s="16"/>
    </row>
    <row r="14" spans="1:19" ht="15.6" customHeight="1" x14ac:dyDescent="0.25">
      <c r="A14" s="16"/>
      <c r="B14" s="16"/>
      <c r="C14" s="16"/>
      <c r="D14" s="17" t="s">
        <v>41</v>
      </c>
      <c r="E14" s="6">
        <f>E12*1000/E11</f>
        <v>71.428571428571431</v>
      </c>
      <c r="F14" s="16" t="s">
        <v>18</v>
      </c>
      <c r="G14" s="16"/>
      <c r="H14" s="16"/>
      <c r="I14" s="20"/>
      <c r="J14" s="17" t="s">
        <v>42</v>
      </c>
      <c r="K14" s="6">
        <f>K12*1000/K11</f>
        <v>28.571428571428573</v>
      </c>
      <c r="L14" s="16" t="s">
        <v>18</v>
      </c>
      <c r="M14" s="16"/>
      <c r="N14" s="20"/>
      <c r="O14" s="20"/>
      <c r="P14" s="17" t="s">
        <v>43</v>
      </c>
      <c r="Q14" s="6">
        <f>Q12*1000/Q11</f>
        <v>60</v>
      </c>
      <c r="R14" s="16" t="s">
        <v>18</v>
      </c>
      <c r="S14" s="16"/>
    </row>
    <row r="15" spans="1:19" ht="15.6" customHeight="1" x14ac:dyDescent="0.25">
      <c r="A15" s="16"/>
      <c r="B15" s="16"/>
      <c r="C15" s="16"/>
      <c r="D15" s="17" t="s">
        <v>16</v>
      </c>
      <c r="E15" s="83" t="str">
        <f>IF(E14&gt;Solubilidad!P5,"Insoluble",IF(E14&gt;Solubilidad!P5/2,"Poco soluble","Soluble"))</f>
        <v>Soluble</v>
      </c>
      <c r="F15" s="83"/>
      <c r="G15" s="7"/>
      <c r="H15" s="16"/>
      <c r="I15" s="19"/>
      <c r="J15" s="17" t="s">
        <v>16</v>
      </c>
      <c r="K15" s="83" t="str">
        <f>IF(K14&gt;Solubilidad!P6,"Insoluble",IF(K14&gt;Solubilidad!P6/2,"Poco soluble","Soluble"))</f>
        <v>Soluble</v>
      </c>
      <c r="L15" s="83"/>
      <c r="M15" s="7"/>
      <c r="N15" s="16"/>
      <c r="O15" s="16"/>
      <c r="P15" s="17" t="s">
        <v>16</v>
      </c>
      <c r="Q15" s="83" t="str">
        <f>IF(Q14&gt;Solubilidad!P7,"Insoluble",IF(Q14&gt;Solubilidad!P7/2,"Poco soluble","Soluble"))</f>
        <v>Poco soluble</v>
      </c>
      <c r="R15" s="83"/>
      <c r="S15" s="16"/>
    </row>
    <row r="16" spans="1:19" ht="15.6" customHeight="1" x14ac:dyDescent="0.25">
      <c r="A16" s="16"/>
      <c r="B16" s="16"/>
      <c r="C16" s="16"/>
      <c r="D16" s="17" t="s">
        <v>46</v>
      </c>
      <c r="E16" s="6">
        <f>E14*(62.0049/101.1032)</f>
        <v>43.805947077554706</v>
      </c>
      <c r="F16" s="16" t="s">
        <v>18</v>
      </c>
      <c r="G16" s="16"/>
      <c r="H16" s="16"/>
      <c r="I16" s="20"/>
      <c r="J16" s="17" t="s">
        <v>47</v>
      </c>
      <c r="K16" s="6">
        <f>K14*(94.9714/136.086)</f>
        <v>19.939366073134426</v>
      </c>
      <c r="L16" s="16" t="s">
        <v>18</v>
      </c>
      <c r="M16" s="16"/>
      <c r="N16" s="20"/>
      <c r="O16" s="20"/>
      <c r="P16" s="17" t="s">
        <v>48</v>
      </c>
      <c r="Q16" s="6">
        <f>Q14*(96.0624/174.259)</f>
        <v>33.075732099920231</v>
      </c>
      <c r="R16" s="16" t="s">
        <v>18</v>
      </c>
      <c r="S16" s="16"/>
    </row>
    <row r="17" spans="1:22" ht="15.6" customHeight="1" x14ac:dyDescent="0.25">
      <c r="A17" s="16"/>
      <c r="B17" s="16"/>
      <c r="C17" s="16"/>
      <c r="D17" s="17" t="s">
        <v>49</v>
      </c>
      <c r="E17" s="6">
        <f>E14*(39.0983/101.1032)</f>
        <v>27.622624351016729</v>
      </c>
      <c r="F17" s="16" t="s">
        <v>18</v>
      </c>
      <c r="G17" s="16"/>
      <c r="H17" s="16"/>
      <c r="I17" s="20"/>
      <c r="J17" s="17" t="s">
        <v>49</v>
      </c>
      <c r="K17" s="6">
        <f>K14*(39.0983/136.086)</f>
        <v>8.2087377519677691</v>
      </c>
      <c r="L17" s="16" t="s">
        <v>18</v>
      </c>
      <c r="M17" s="16"/>
      <c r="N17" s="20"/>
      <c r="O17" s="20"/>
      <c r="P17" s="17" t="s">
        <v>50</v>
      </c>
      <c r="Q17" s="6">
        <f>Q14*(78.1966/174.259)</f>
        <v>26.924267900079769</v>
      </c>
      <c r="R17" s="16" t="s">
        <v>18</v>
      </c>
      <c r="S17" s="16"/>
    </row>
    <row r="18" spans="1:22" ht="8.1" customHeight="1" x14ac:dyDescent="0.25">
      <c r="A18" s="16"/>
      <c r="B18" s="16"/>
      <c r="C18" s="16"/>
      <c r="D18" s="16"/>
      <c r="E18" s="16"/>
      <c r="F18" s="16"/>
      <c r="G18" s="16"/>
      <c r="H18" s="16"/>
      <c r="I18" s="16"/>
      <c r="J18" s="16"/>
      <c r="K18" s="16"/>
      <c r="L18" s="16"/>
      <c r="M18" s="16"/>
      <c r="N18" s="16"/>
      <c r="O18" s="16"/>
      <c r="P18" s="16"/>
      <c r="Q18" s="16"/>
      <c r="R18" s="16"/>
      <c r="S18" s="16"/>
    </row>
    <row r="19" spans="1:22" x14ac:dyDescent="0.25">
      <c r="A19" s="13"/>
      <c r="B19" s="79" t="s">
        <v>72</v>
      </c>
      <c r="C19" s="79"/>
      <c r="D19" s="79"/>
      <c r="E19" s="79"/>
      <c r="F19" s="79"/>
      <c r="G19" s="79"/>
      <c r="H19" s="79"/>
      <c r="I19" s="79"/>
      <c r="J19" s="79"/>
      <c r="K19" s="79"/>
      <c r="L19" s="79"/>
      <c r="M19" s="79"/>
      <c r="N19" s="79"/>
      <c r="O19" s="79"/>
      <c r="P19" s="79"/>
      <c r="Q19" s="79"/>
      <c r="R19" s="79"/>
      <c r="S19" s="13"/>
    </row>
    <row r="20" spans="1:22" x14ac:dyDescent="0.25">
      <c r="A20" s="13"/>
      <c r="B20" s="79"/>
      <c r="C20" s="79"/>
      <c r="D20" s="79"/>
      <c r="E20" s="79"/>
      <c r="F20" s="79"/>
      <c r="G20" s="79"/>
      <c r="H20" s="79"/>
      <c r="I20" s="79"/>
      <c r="J20" s="79"/>
      <c r="K20" s="79"/>
      <c r="L20" s="79"/>
      <c r="M20" s="79"/>
      <c r="N20" s="79"/>
      <c r="O20" s="79"/>
      <c r="P20" s="79"/>
      <c r="Q20" s="79"/>
      <c r="R20" s="79"/>
      <c r="S20" s="13"/>
    </row>
    <row r="21" spans="1:22" ht="8.1" customHeight="1" x14ac:dyDescent="0.25">
      <c r="A21" s="16"/>
      <c r="B21" s="16"/>
      <c r="C21" s="16"/>
      <c r="D21" s="16"/>
      <c r="E21" s="16"/>
      <c r="F21" s="16"/>
      <c r="G21" s="16"/>
      <c r="H21" s="16"/>
      <c r="I21" s="16"/>
      <c r="J21" s="16"/>
      <c r="K21" s="16"/>
      <c r="L21" s="16"/>
      <c r="M21" s="16"/>
      <c r="N21" s="16"/>
      <c r="O21" s="16"/>
      <c r="P21" s="16"/>
      <c r="Q21" s="16"/>
      <c r="R21" s="16"/>
      <c r="S21" s="16"/>
    </row>
    <row r="22" spans="1:22" ht="17.25" x14ac:dyDescent="0.25">
      <c r="A22" s="16"/>
      <c r="B22" s="82" t="s">
        <v>58</v>
      </c>
      <c r="C22" s="82"/>
      <c r="D22" s="82"/>
      <c r="E22" s="82"/>
      <c r="F22" s="82"/>
      <c r="G22" s="16"/>
      <c r="H22" s="82" t="s">
        <v>80</v>
      </c>
      <c r="I22" s="82"/>
      <c r="J22" s="82"/>
      <c r="K22" s="82"/>
      <c r="L22" s="82"/>
      <c r="M22" s="16"/>
      <c r="N22" s="82" t="s">
        <v>66</v>
      </c>
      <c r="O22" s="82"/>
      <c r="P22" s="82"/>
      <c r="Q22" s="82"/>
      <c r="R22" s="82"/>
      <c r="S22" s="16"/>
    </row>
    <row r="23" spans="1:22" ht="16.149999999999999" customHeight="1" x14ac:dyDescent="0.25">
      <c r="A23" s="16"/>
      <c r="B23" s="21"/>
      <c r="C23" s="16"/>
      <c r="D23" s="22" t="s">
        <v>53</v>
      </c>
      <c r="E23" s="5">
        <v>3</v>
      </c>
      <c r="F23" s="16" t="s">
        <v>1</v>
      </c>
      <c r="G23" s="16"/>
      <c r="H23" s="21"/>
      <c r="I23" s="16"/>
      <c r="J23" s="22" t="s">
        <v>59</v>
      </c>
      <c r="K23" s="5">
        <v>0.2</v>
      </c>
      <c r="L23" s="16" t="s">
        <v>1</v>
      </c>
      <c r="M23" s="16"/>
      <c r="N23" s="16"/>
      <c r="O23" s="16"/>
      <c r="P23" s="22" t="s">
        <v>67</v>
      </c>
      <c r="Q23" s="5">
        <v>0</v>
      </c>
      <c r="R23" s="16" t="s">
        <v>1</v>
      </c>
      <c r="S23" s="16"/>
    </row>
    <row r="24" spans="1:22" ht="15" customHeight="1" x14ac:dyDescent="0.25">
      <c r="A24" s="16"/>
      <c r="B24" s="21"/>
      <c r="C24" s="16"/>
      <c r="D24" s="22" t="s">
        <v>54</v>
      </c>
      <c r="E24" s="5">
        <v>10</v>
      </c>
      <c r="F24" s="16" t="s">
        <v>1</v>
      </c>
      <c r="G24" s="16"/>
      <c r="H24" s="21"/>
      <c r="I24" s="16"/>
      <c r="J24" s="22" t="s">
        <v>60</v>
      </c>
      <c r="K24" s="5">
        <f>E24/10</f>
        <v>1</v>
      </c>
      <c r="L24" s="16" t="s">
        <v>1</v>
      </c>
      <c r="M24" s="16"/>
      <c r="N24" s="16"/>
      <c r="O24" s="16"/>
      <c r="P24" s="22" t="s">
        <v>68</v>
      </c>
      <c r="Q24" s="5">
        <f>E24*1.3</f>
        <v>13</v>
      </c>
      <c r="R24" s="16" t="s">
        <v>1</v>
      </c>
      <c r="S24" s="16"/>
    </row>
    <row r="25" spans="1:22" ht="17.25" x14ac:dyDescent="0.25">
      <c r="A25" s="16"/>
      <c r="B25" s="21"/>
      <c r="C25" s="16"/>
      <c r="D25" s="17" t="s">
        <v>55</v>
      </c>
      <c r="E25" s="8">
        <f>E26*(101.1032/62.0049)</f>
        <v>11.413975347109664</v>
      </c>
      <c r="F25" s="16" t="s">
        <v>1</v>
      </c>
      <c r="G25" s="16"/>
      <c r="H25" s="21"/>
      <c r="I25" s="16"/>
      <c r="J25" s="17" t="s">
        <v>61</v>
      </c>
      <c r="K25" s="8">
        <f>K26*(136.086/94.9714)</f>
        <v>1.1463324748292645</v>
      </c>
      <c r="L25" s="16" t="s">
        <v>1</v>
      </c>
      <c r="M25" s="16"/>
      <c r="N25" s="16"/>
      <c r="O25" s="16"/>
      <c r="P25" s="17" t="s">
        <v>69</v>
      </c>
      <c r="Q25" s="8">
        <f>Q27*174.259/78.1966</f>
        <v>0</v>
      </c>
      <c r="R25" s="16" t="s">
        <v>1</v>
      </c>
      <c r="S25" s="16"/>
    </row>
    <row r="26" spans="1:22" ht="17.25" x14ac:dyDescent="0.25">
      <c r="A26" s="16"/>
      <c r="B26" s="21"/>
      <c r="C26" s="16"/>
      <c r="D26" s="17" t="s">
        <v>56</v>
      </c>
      <c r="E26" s="8">
        <f>E24-E23</f>
        <v>7</v>
      </c>
      <c r="F26" s="16" t="s">
        <v>1</v>
      </c>
      <c r="G26" s="16"/>
      <c r="H26" s="21"/>
      <c r="I26" s="16"/>
      <c r="J26" s="17" t="s">
        <v>62</v>
      </c>
      <c r="K26" s="8">
        <f>K24-K23</f>
        <v>0.8</v>
      </c>
      <c r="L26" s="16" t="s">
        <v>1</v>
      </c>
      <c r="M26" s="16"/>
      <c r="N26" s="16"/>
      <c r="O26" s="16"/>
      <c r="P26" s="17" t="s">
        <v>70</v>
      </c>
      <c r="Q26" s="8">
        <f>Q27*96.0624/78.1966</f>
        <v>0</v>
      </c>
      <c r="R26" s="16" t="s">
        <v>1</v>
      </c>
      <c r="S26" s="16"/>
    </row>
    <row r="27" spans="1:22" ht="17.25" x14ac:dyDescent="0.25">
      <c r="A27" s="16"/>
      <c r="B27" s="21"/>
      <c r="C27" s="16"/>
      <c r="D27" s="17" t="s">
        <v>57</v>
      </c>
      <c r="E27" s="8">
        <f>E25*(39.0983/101.1032)</f>
        <v>4.4139753471096643</v>
      </c>
      <c r="F27" s="16" t="s">
        <v>1</v>
      </c>
      <c r="G27" s="16"/>
      <c r="H27" s="21"/>
      <c r="I27" s="16"/>
      <c r="J27" s="17" t="s">
        <v>63</v>
      </c>
      <c r="K27" s="8">
        <f>K25*(39.0983/136.086)</f>
        <v>0.32934799318531688</v>
      </c>
      <c r="L27" s="16" t="s">
        <v>1</v>
      </c>
      <c r="M27" s="16"/>
      <c r="N27" s="16"/>
      <c r="O27" s="16"/>
      <c r="P27" s="17" t="s">
        <v>71</v>
      </c>
      <c r="Q27" s="8">
        <f>IF((Q24-H36)-(K27+E27)&lt;0,0,(Q24-H36)-(K27+E27))</f>
        <v>0</v>
      </c>
      <c r="R27" s="16" t="s">
        <v>1</v>
      </c>
      <c r="S27" s="16"/>
      <c r="V27" s="4"/>
    </row>
    <row r="28" spans="1:22" ht="8.1" customHeight="1" x14ac:dyDescent="0.25">
      <c r="A28" s="16"/>
      <c r="B28" s="16"/>
      <c r="C28" s="16"/>
      <c r="D28" s="16"/>
      <c r="E28" s="16"/>
      <c r="F28" s="16"/>
      <c r="G28" s="16"/>
      <c r="H28" s="16"/>
      <c r="I28" s="16"/>
      <c r="J28" s="16"/>
      <c r="K28" s="16"/>
      <c r="L28" s="16"/>
      <c r="M28" s="16"/>
      <c r="N28" s="16"/>
      <c r="O28" s="16"/>
      <c r="P28" s="16"/>
      <c r="Q28" s="16"/>
      <c r="R28" s="16"/>
      <c r="S28" s="16"/>
    </row>
    <row r="29" spans="1:22" x14ac:dyDescent="0.25">
      <c r="A29" s="13"/>
      <c r="B29" s="79" t="s">
        <v>73</v>
      </c>
      <c r="C29" s="79"/>
      <c r="D29" s="79"/>
      <c r="E29" s="79"/>
      <c r="F29" s="79"/>
      <c r="G29" s="79"/>
      <c r="H29" s="79"/>
      <c r="I29" s="79"/>
      <c r="J29" s="79"/>
      <c r="K29" s="79"/>
      <c r="L29" s="79"/>
      <c r="M29" s="79"/>
      <c r="N29" s="79"/>
      <c r="O29" s="79"/>
      <c r="P29" s="79"/>
      <c r="Q29" s="79"/>
      <c r="R29" s="79"/>
      <c r="S29" s="13"/>
    </row>
    <row r="30" spans="1:22" x14ac:dyDescent="0.25">
      <c r="A30" s="13"/>
      <c r="B30" s="79"/>
      <c r="C30" s="79"/>
      <c r="D30" s="79"/>
      <c r="E30" s="79"/>
      <c r="F30" s="79"/>
      <c r="G30" s="79"/>
      <c r="H30" s="79"/>
      <c r="I30" s="79"/>
      <c r="J30" s="79"/>
      <c r="K30" s="79"/>
      <c r="L30" s="79"/>
      <c r="M30" s="79"/>
      <c r="N30" s="79"/>
      <c r="O30" s="79"/>
      <c r="P30" s="79"/>
      <c r="Q30" s="79"/>
      <c r="R30" s="79"/>
      <c r="S30" s="13"/>
    </row>
    <row r="31" spans="1:22" ht="8.1" customHeight="1" x14ac:dyDescent="0.25">
      <c r="A31" s="16"/>
      <c r="B31" s="16"/>
      <c r="C31" s="16"/>
      <c r="D31" s="16"/>
      <c r="E31" s="16"/>
      <c r="F31" s="16"/>
      <c r="G31" s="16"/>
      <c r="H31" s="16"/>
      <c r="I31" s="16"/>
      <c r="J31" s="16"/>
      <c r="K31" s="16"/>
      <c r="L31" s="16"/>
      <c r="M31" s="16"/>
      <c r="N31" s="16"/>
      <c r="O31" s="16"/>
      <c r="P31" s="16"/>
      <c r="Q31" s="16"/>
      <c r="R31" s="16"/>
      <c r="S31" s="16"/>
    </row>
    <row r="32" spans="1:22" ht="15.75" thickBot="1" x14ac:dyDescent="0.3">
      <c r="A32" s="16"/>
      <c r="B32" s="23"/>
      <c r="C32" s="16"/>
      <c r="D32" s="16"/>
      <c r="E32" s="22" t="s">
        <v>75</v>
      </c>
      <c r="F32" s="85">
        <v>100</v>
      </c>
      <c r="G32" s="85"/>
      <c r="H32" s="16" t="s">
        <v>74</v>
      </c>
      <c r="I32" s="16"/>
      <c r="J32" s="16"/>
      <c r="K32" s="16"/>
      <c r="L32" s="16"/>
      <c r="M32" s="16"/>
      <c r="N32" s="16"/>
      <c r="O32" s="16"/>
      <c r="P32" s="16"/>
      <c r="Q32" s="16"/>
      <c r="R32" s="16"/>
      <c r="S32" s="16"/>
    </row>
    <row r="33" spans="1:19" ht="16.149999999999999" customHeight="1" x14ac:dyDescent="0.25">
      <c r="A33" s="16"/>
      <c r="B33" s="16"/>
      <c r="C33" s="16"/>
      <c r="D33" s="16"/>
      <c r="E33" s="16"/>
      <c r="F33" s="16"/>
      <c r="G33" s="16"/>
      <c r="H33" s="16"/>
      <c r="I33" s="16"/>
      <c r="J33" s="16"/>
      <c r="K33" s="24"/>
      <c r="L33" s="25"/>
      <c r="M33" s="25"/>
      <c r="N33" s="25"/>
      <c r="O33" s="25"/>
      <c r="P33" s="25"/>
      <c r="Q33" s="25"/>
      <c r="R33" s="26"/>
      <c r="S33" s="16"/>
    </row>
    <row r="34" spans="1:19" ht="17.25" x14ac:dyDescent="0.25">
      <c r="A34" s="16"/>
      <c r="B34" s="23" t="s">
        <v>84</v>
      </c>
      <c r="C34" s="16"/>
      <c r="D34" s="16"/>
      <c r="E34" s="16"/>
      <c r="F34" s="16"/>
      <c r="G34" s="17"/>
      <c r="H34" s="27"/>
      <c r="I34" s="16"/>
      <c r="J34" s="16"/>
      <c r="K34" s="86" t="s">
        <v>82</v>
      </c>
      <c r="L34" s="87"/>
      <c r="M34" s="87"/>
      <c r="N34" s="28"/>
      <c r="O34" s="28"/>
      <c r="P34" s="29" t="s">
        <v>78</v>
      </c>
      <c r="Q34" s="11">
        <f>E26*F32/E16</f>
        <v>15.979565485953529</v>
      </c>
      <c r="R34" s="30" t="s">
        <v>0</v>
      </c>
      <c r="S34" s="16"/>
    </row>
    <row r="35" spans="1:19" ht="15.6" customHeight="1" x14ac:dyDescent="0.25">
      <c r="A35" s="16"/>
      <c r="B35" s="16"/>
      <c r="C35" s="16"/>
      <c r="D35" s="16"/>
      <c r="E35" s="16"/>
      <c r="F35" s="16"/>
      <c r="G35" s="17" t="s">
        <v>85</v>
      </c>
      <c r="H35" s="9">
        <f>kH!F17*kH!E9*7/kH!L9</f>
        <v>834.41470089397194</v>
      </c>
      <c r="I35" s="16" t="s">
        <v>103</v>
      </c>
      <c r="J35" s="16"/>
      <c r="K35" s="86"/>
      <c r="L35" s="87"/>
      <c r="M35" s="87"/>
      <c r="N35" s="28"/>
      <c r="O35" s="28"/>
      <c r="P35" s="29" t="s">
        <v>79</v>
      </c>
      <c r="Q35" s="11">
        <f>K26*F32/K16</f>
        <v>4.0121636619024255</v>
      </c>
      <c r="R35" s="30" t="s">
        <v>0</v>
      </c>
      <c r="S35" s="16"/>
    </row>
    <row r="36" spans="1:19" ht="17.25" x14ac:dyDescent="0.25">
      <c r="A36" s="16"/>
      <c r="B36" s="23"/>
      <c r="C36" s="23"/>
      <c r="D36" s="23"/>
      <c r="E36" s="23"/>
      <c r="F36" s="23"/>
      <c r="G36" s="17" t="s">
        <v>104</v>
      </c>
      <c r="H36" s="10">
        <f>(Q23*(F32-kH!E9*7/kH!L9)+H35)/F32</f>
        <v>8.3441470089397196</v>
      </c>
      <c r="I36" s="16" t="s">
        <v>1</v>
      </c>
      <c r="J36" s="16"/>
      <c r="K36" s="86"/>
      <c r="L36" s="87"/>
      <c r="M36" s="87"/>
      <c r="N36" s="28"/>
      <c r="O36" s="28"/>
      <c r="P36" s="29" t="s">
        <v>81</v>
      </c>
      <c r="Q36" s="11">
        <f>Q27*F32/Q17</f>
        <v>0</v>
      </c>
      <c r="R36" s="30" t="s">
        <v>0</v>
      </c>
      <c r="S36" s="16"/>
    </row>
    <row r="37" spans="1:19" ht="15.75" thickBot="1" x14ac:dyDescent="0.3">
      <c r="A37" s="16"/>
      <c r="B37" s="23"/>
      <c r="C37" s="16" t="s">
        <v>83</v>
      </c>
      <c r="D37" s="23" t="str">
        <f>IF(Q27&gt;0, "Es necesario aportar Potasio","No se necesita aportar Potasio")</f>
        <v>No se necesita aportar Potasio</v>
      </c>
      <c r="E37" s="16"/>
      <c r="F37" s="16"/>
      <c r="G37" s="16"/>
      <c r="H37" s="16"/>
      <c r="I37" s="16"/>
      <c r="J37" s="16"/>
      <c r="K37" s="31"/>
      <c r="L37" s="32"/>
      <c r="M37" s="32"/>
      <c r="N37" s="32"/>
      <c r="O37" s="32"/>
      <c r="P37" s="32"/>
      <c r="Q37" s="32"/>
      <c r="R37" s="33"/>
      <c r="S37" s="16"/>
    </row>
    <row r="38" spans="1:19" ht="8.1" customHeight="1" x14ac:dyDescent="0.25">
      <c r="A38" s="16"/>
      <c r="B38" s="23"/>
      <c r="C38" s="16"/>
      <c r="D38" s="16"/>
      <c r="E38" s="16"/>
      <c r="F38" s="16"/>
      <c r="G38" s="16"/>
      <c r="H38" s="23"/>
      <c r="I38" s="16"/>
      <c r="J38" s="16"/>
      <c r="K38" s="16"/>
      <c r="L38" s="16"/>
      <c r="M38" s="16"/>
      <c r="N38" s="16"/>
      <c r="O38" s="16"/>
      <c r="P38" s="16"/>
      <c r="Q38" s="16"/>
      <c r="R38" s="16"/>
      <c r="S38" s="16"/>
    </row>
    <row r="39" spans="1:19" ht="15" customHeight="1" x14ac:dyDescent="0.25">
      <c r="A39" s="34"/>
      <c r="B39" s="79" t="s">
        <v>86</v>
      </c>
      <c r="C39" s="79"/>
      <c r="D39" s="79"/>
      <c r="E39" s="79"/>
      <c r="F39" s="79"/>
      <c r="G39" s="79"/>
      <c r="H39" s="79"/>
      <c r="I39" s="79"/>
      <c r="J39" s="79"/>
      <c r="K39" s="79"/>
      <c r="L39" s="79"/>
      <c r="M39" s="79"/>
      <c r="N39" s="79"/>
      <c r="O39" s="79"/>
      <c r="P39" s="79"/>
      <c r="Q39" s="79"/>
      <c r="R39" s="79"/>
      <c r="S39" s="35"/>
    </row>
    <row r="40" spans="1:19" ht="15" customHeight="1" x14ac:dyDescent="0.25">
      <c r="A40" s="34"/>
      <c r="B40" s="79"/>
      <c r="C40" s="79"/>
      <c r="D40" s="79"/>
      <c r="E40" s="79"/>
      <c r="F40" s="79"/>
      <c r="G40" s="79"/>
      <c r="H40" s="79"/>
      <c r="I40" s="79"/>
      <c r="J40" s="79"/>
      <c r="K40" s="79"/>
      <c r="L40" s="79"/>
      <c r="M40" s="79"/>
      <c r="N40" s="79"/>
      <c r="O40" s="79"/>
      <c r="P40" s="79"/>
      <c r="Q40" s="79"/>
      <c r="R40" s="79"/>
      <c r="S40" s="35"/>
    </row>
    <row r="41" spans="1:19" ht="8.1" customHeight="1" x14ac:dyDescent="0.25">
      <c r="A41" s="16"/>
      <c r="B41" s="16"/>
      <c r="C41" s="16"/>
      <c r="D41" s="16"/>
      <c r="E41" s="16"/>
      <c r="F41" s="16"/>
      <c r="G41" s="16"/>
      <c r="H41" s="16"/>
      <c r="I41" s="16"/>
      <c r="J41" s="16"/>
      <c r="K41" s="16"/>
      <c r="L41" s="16"/>
      <c r="M41" s="16"/>
      <c r="N41" s="16"/>
      <c r="O41" s="16"/>
      <c r="P41" s="16"/>
      <c r="Q41" s="16"/>
      <c r="R41" s="16"/>
      <c r="S41" s="16"/>
    </row>
    <row r="42" spans="1:19" s="3" customFormat="1" ht="12.75" x14ac:dyDescent="0.2">
      <c r="A42" s="36"/>
      <c r="B42" s="37" t="s">
        <v>95</v>
      </c>
      <c r="C42" s="36"/>
      <c r="D42" s="36"/>
      <c r="E42" s="36"/>
      <c r="F42" s="36"/>
      <c r="G42" s="36"/>
      <c r="H42" s="36"/>
      <c r="I42" s="36"/>
      <c r="J42" s="36"/>
      <c r="K42" s="36"/>
      <c r="L42" s="36"/>
      <c r="M42" s="36"/>
      <c r="N42" s="36"/>
      <c r="O42" s="36"/>
      <c r="P42" s="36"/>
      <c r="Q42" s="36"/>
      <c r="R42" s="36"/>
      <c r="S42" s="36"/>
    </row>
    <row r="43" spans="1:19" s="3" customFormat="1" ht="14.25" x14ac:dyDescent="0.2">
      <c r="A43" s="36"/>
      <c r="B43" s="81" t="s">
        <v>87</v>
      </c>
      <c r="C43" s="81"/>
      <c r="D43" s="81"/>
      <c r="E43" s="38" t="s">
        <v>105</v>
      </c>
      <c r="F43" s="36"/>
      <c r="G43" s="36"/>
      <c r="H43" s="36"/>
      <c r="I43" s="36"/>
      <c r="J43" s="36"/>
      <c r="K43" s="36"/>
      <c r="L43" s="36"/>
      <c r="M43" s="36"/>
      <c r="N43" s="36"/>
      <c r="O43" s="36"/>
      <c r="P43" s="36"/>
      <c r="Q43" s="36"/>
      <c r="R43" s="36"/>
      <c r="S43" s="36"/>
    </row>
    <row r="44" spans="1:19" s="3" customFormat="1" ht="14.25" x14ac:dyDescent="0.2">
      <c r="A44" s="36"/>
      <c r="B44" s="81" t="s">
        <v>88</v>
      </c>
      <c r="C44" s="81"/>
      <c r="D44" s="81"/>
      <c r="E44" s="38" t="s">
        <v>90</v>
      </c>
      <c r="F44" s="36"/>
      <c r="G44" s="36"/>
      <c r="H44" s="36"/>
      <c r="I44" s="36"/>
      <c r="J44" s="36"/>
      <c r="K44" s="36"/>
      <c r="L44" s="36"/>
      <c r="M44" s="36"/>
      <c r="N44" s="36"/>
      <c r="O44" s="36"/>
      <c r="P44" s="36"/>
      <c r="Q44" s="36"/>
      <c r="R44" s="36"/>
      <c r="S44" s="36"/>
    </row>
    <row r="45" spans="1:19" s="3" customFormat="1" ht="14.25" x14ac:dyDescent="0.2">
      <c r="A45" s="36"/>
      <c r="B45" s="81" t="s">
        <v>89</v>
      </c>
      <c r="C45" s="81"/>
      <c r="D45" s="81"/>
      <c r="E45" s="38" t="s">
        <v>91</v>
      </c>
      <c r="F45" s="36"/>
      <c r="G45" s="36"/>
      <c r="H45" s="36"/>
      <c r="I45" s="36"/>
      <c r="J45" s="36"/>
      <c r="K45" s="36"/>
      <c r="L45" s="36"/>
      <c r="M45" s="36"/>
      <c r="N45" s="36"/>
      <c r="O45" s="36"/>
      <c r="P45" s="36"/>
      <c r="Q45" s="36"/>
      <c r="R45" s="36"/>
      <c r="S45" s="36"/>
    </row>
    <row r="46" spans="1:19" s="3" customFormat="1" ht="12.75" x14ac:dyDescent="0.2">
      <c r="A46" s="36"/>
      <c r="B46" s="38" t="s">
        <v>100</v>
      </c>
      <c r="C46" s="39"/>
      <c r="D46" s="39"/>
      <c r="E46" s="38"/>
      <c r="F46" s="36"/>
      <c r="G46" s="36"/>
      <c r="H46" s="36"/>
      <c r="I46" s="36"/>
      <c r="J46" s="36"/>
      <c r="K46" s="36"/>
      <c r="L46" s="36"/>
      <c r="M46" s="36"/>
      <c r="N46" s="36"/>
      <c r="O46" s="36"/>
      <c r="P46" s="36"/>
      <c r="Q46" s="36"/>
      <c r="R46" s="36"/>
      <c r="S46" s="36"/>
    </row>
    <row r="47" spans="1:19" s="3" customFormat="1" ht="14.25" customHeight="1" x14ac:dyDescent="0.2">
      <c r="A47" s="36"/>
      <c r="B47" s="77" t="s">
        <v>109</v>
      </c>
      <c r="C47" s="77"/>
      <c r="D47" s="77"/>
      <c r="E47" s="77"/>
      <c r="F47" s="77"/>
      <c r="G47" s="77"/>
      <c r="H47" s="77"/>
      <c r="I47" s="77"/>
      <c r="J47" s="77"/>
      <c r="K47" s="77"/>
      <c r="L47" s="77"/>
      <c r="M47" s="77"/>
      <c r="N47" s="77"/>
      <c r="O47" s="77"/>
      <c r="P47" s="77"/>
      <c r="Q47" s="77"/>
      <c r="R47" s="77"/>
      <c r="S47" s="36"/>
    </row>
    <row r="48" spans="1:19" s="3" customFormat="1" ht="12.75" x14ac:dyDescent="0.2">
      <c r="A48" s="36"/>
      <c r="B48" s="77"/>
      <c r="C48" s="77"/>
      <c r="D48" s="77"/>
      <c r="E48" s="77"/>
      <c r="F48" s="77"/>
      <c r="G48" s="77"/>
      <c r="H48" s="77"/>
      <c r="I48" s="77"/>
      <c r="J48" s="77"/>
      <c r="K48" s="77"/>
      <c r="L48" s="77"/>
      <c r="M48" s="77"/>
      <c r="N48" s="77"/>
      <c r="O48" s="77"/>
      <c r="P48" s="77"/>
      <c r="Q48" s="77"/>
      <c r="R48" s="77"/>
      <c r="S48" s="36"/>
    </row>
    <row r="49" spans="1:19" s="3" customFormat="1" ht="12.75" x14ac:dyDescent="0.2">
      <c r="A49" s="36"/>
      <c r="B49" s="77"/>
      <c r="C49" s="77"/>
      <c r="D49" s="77"/>
      <c r="E49" s="77"/>
      <c r="F49" s="77"/>
      <c r="G49" s="77"/>
      <c r="H49" s="77"/>
      <c r="I49" s="77"/>
      <c r="J49" s="77"/>
      <c r="K49" s="77"/>
      <c r="L49" s="77"/>
      <c r="M49" s="77"/>
      <c r="N49" s="77"/>
      <c r="O49" s="77"/>
      <c r="P49" s="77"/>
      <c r="Q49" s="77"/>
      <c r="R49" s="77"/>
      <c r="S49" s="36"/>
    </row>
    <row r="50" spans="1:19" s="3" customFormat="1" ht="12.75" x14ac:dyDescent="0.2">
      <c r="A50" s="36"/>
      <c r="B50" s="77"/>
      <c r="C50" s="77"/>
      <c r="D50" s="77"/>
      <c r="E50" s="77"/>
      <c r="F50" s="77"/>
      <c r="G50" s="77"/>
      <c r="H50" s="77"/>
      <c r="I50" s="77"/>
      <c r="J50" s="77"/>
      <c r="K50" s="77"/>
      <c r="L50" s="77"/>
      <c r="M50" s="77"/>
      <c r="N50" s="77"/>
      <c r="O50" s="77"/>
      <c r="P50" s="77"/>
      <c r="Q50" s="77"/>
      <c r="R50" s="77"/>
      <c r="S50" s="36"/>
    </row>
    <row r="51" spans="1:19" s="3" customFormat="1" ht="12.75" x14ac:dyDescent="0.2">
      <c r="A51" s="36"/>
      <c r="B51" s="38" t="s">
        <v>131</v>
      </c>
      <c r="C51" s="50"/>
      <c r="D51" s="50"/>
      <c r="E51" s="50"/>
      <c r="F51" s="50"/>
      <c r="G51" s="50"/>
      <c r="H51" s="50"/>
      <c r="I51" s="50"/>
      <c r="J51" s="50"/>
      <c r="K51" s="50"/>
      <c r="L51" s="50"/>
      <c r="M51" s="50"/>
      <c r="N51" s="50"/>
      <c r="O51" s="50"/>
      <c r="P51" s="50"/>
      <c r="Q51" s="50"/>
      <c r="R51" s="50"/>
      <c r="S51" s="36"/>
    </row>
    <row r="52" spans="1:19" s="3" customFormat="1" ht="12.75" x14ac:dyDescent="0.2">
      <c r="A52" s="36"/>
      <c r="B52" s="38" t="s">
        <v>130</v>
      </c>
      <c r="C52" s="48"/>
      <c r="D52" s="48"/>
      <c r="E52" s="48"/>
      <c r="F52" s="48"/>
      <c r="G52" s="48"/>
      <c r="H52" s="48"/>
      <c r="I52" s="48"/>
      <c r="J52" s="48"/>
      <c r="K52" s="48"/>
      <c r="L52" s="48"/>
      <c r="M52" s="48"/>
      <c r="N52" s="48"/>
      <c r="O52" s="48"/>
      <c r="P52" s="48"/>
      <c r="Q52" s="48"/>
      <c r="R52" s="48"/>
      <c r="S52" s="36"/>
    </row>
    <row r="53" spans="1:19" s="3" customFormat="1" ht="12.75" x14ac:dyDescent="0.2">
      <c r="A53" s="36"/>
      <c r="B53" s="38" t="s">
        <v>142</v>
      </c>
      <c r="C53" s="48"/>
      <c r="D53" s="48"/>
      <c r="E53" s="48"/>
      <c r="F53" s="48"/>
      <c r="G53" s="48"/>
      <c r="H53" s="48"/>
      <c r="I53" s="48"/>
      <c r="J53" s="48"/>
      <c r="K53" s="48"/>
      <c r="L53" s="48"/>
      <c r="M53" s="48"/>
      <c r="N53" s="48"/>
      <c r="O53" s="48"/>
      <c r="P53" s="48"/>
      <c r="Q53" s="48"/>
      <c r="R53" s="48"/>
      <c r="S53" s="36"/>
    </row>
    <row r="54" spans="1:19" s="3" customFormat="1" ht="12.75" x14ac:dyDescent="0.2">
      <c r="A54" s="36"/>
      <c r="B54" s="38" t="s">
        <v>123</v>
      </c>
      <c r="C54" s="48"/>
      <c r="D54" s="48"/>
      <c r="E54" s="48"/>
      <c r="F54" s="48"/>
      <c r="G54" s="48"/>
      <c r="H54" s="48"/>
      <c r="I54" s="48"/>
      <c r="J54" s="48"/>
      <c r="K54" s="48"/>
      <c r="L54" s="48"/>
      <c r="M54" s="48"/>
      <c r="N54" s="48"/>
      <c r="O54" s="48"/>
      <c r="P54" s="48"/>
      <c r="Q54" s="48"/>
      <c r="R54" s="48"/>
      <c r="S54" s="36"/>
    </row>
    <row r="55" spans="1:19" x14ac:dyDescent="0.25">
      <c r="A55" s="16"/>
      <c r="B55" s="16"/>
      <c r="C55" s="16"/>
      <c r="D55" s="16"/>
      <c r="E55" s="16"/>
      <c r="F55" s="16"/>
      <c r="G55" s="16"/>
      <c r="H55" s="16"/>
      <c r="I55" s="16"/>
      <c r="J55" s="16"/>
      <c r="K55" s="16"/>
      <c r="L55" s="16"/>
      <c r="M55" s="16"/>
      <c r="N55" s="16"/>
      <c r="O55" s="16"/>
      <c r="P55" s="16"/>
      <c r="Q55" s="16"/>
      <c r="R55" s="16"/>
      <c r="S55" s="16"/>
    </row>
  </sheetData>
  <sheetProtection algorithmName="SHA-512" hashValue="w0/LoJOJALGz+yKeTQw6otkY5pnt5zswD8aVoxLitrL1HaCpr3O/xPgxWfLit78TjjYEsh/FHgvPKUZlmp6n4w==" saltValue="iEUAFWEZs5xexLyUNOEjDg==" spinCount="100000" sheet="1" formatCells="0" formatColumns="0" formatRows="0" insertColumns="0" insertRows="0" insertHyperlinks="0" deleteColumns="0" deleteRows="0" sort="0" autoFilter="0" pivotTables="0"/>
  <mergeCells count="20">
    <mergeCell ref="B47:R50"/>
    <mergeCell ref="F32:G32"/>
    <mergeCell ref="B43:D43"/>
    <mergeCell ref="B44:D44"/>
    <mergeCell ref="B45:D45"/>
    <mergeCell ref="K34:M36"/>
    <mergeCell ref="B39:R40"/>
    <mergeCell ref="E15:F15"/>
    <mergeCell ref="K15:L15"/>
    <mergeCell ref="Q15:R15"/>
    <mergeCell ref="J2:R3"/>
    <mergeCell ref="B10:F10"/>
    <mergeCell ref="H10:L10"/>
    <mergeCell ref="N10:R10"/>
    <mergeCell ref="B6:F8"/>
    <mergeCell ref="B19:R20"/>
    <mergeCell ref="B29:R30"/>
    <mergeCell ref="B22:F22"/>
    <mergeCell ref="H22:L22"/>
    <mergeCell ref="N22:R22"/>
  </mergeCells>
  <conditionalFormatting sqref="E15:G15">
    <cfRule type="cellIs" dxfId="18" priority="6" operator="equal">
      <formula>"Poco soluble"</formula>
    </cfRule>
    <cfRule type="cellIs" dxfId="17" priority="7" operator="equal">
      <formula>"Insoluble"</formula>
    </cfRule>
  </conditionalFormatting>
  <conditionalFormatting sqref="K15:M15">
    <cfRule type="cellIs" dxfId="16" priority="3" operator="equal">
      <formula>"Poco soluble"</formula>
    </cfRule>
    <cfRule type="cellIs" dxfId="15" priority="4" operator="equal">
      <formula>"Insoluble"</formula>
    </cfRule>
  </conditionalFormatting>
  <conditionalFormatting sqref="Q15:R15">
    <cfRule type="cellIs" dxfId="14" priority="1" operator="equal">
      <formula>"Poco soluble"</formula>
    </cfRule>
    <cfRule type="cellIs" dxfId="13" priority="2" operator="equal">
      <formula>"Insoluble"</formula>
    </cfRule>
  </conditionalFormatting>
  <pageMargins left="0.7" right="0.7" top="0.75" bottom="0.75" header="0.3" footer="0.3"/>
  <pageSetup paperSize="9" orientation="portrait" horizontalDpi="4294967293" verticalDpi="0" r:id="rId1"/>
  <ignoredErrors>
    <ignoredError sqref="K24 Q24"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6"/>
  <sheetViews>
    <sheetView showGridLines="0" showRowColHeaders="0" zoomScale="120" zoomScaleNormal="120" workbookViewId="0">
      <selection activeCell="E9" sqref="E9"/>
    </sheetView>
  </sheetViews>
  <sheetFormatPr baseColWidth="10" defaultColWidth="11.42578125" defaultRowHeight="15" x14ac:dyDescent="0.25"/>
  <cols>
    <col min="1" max="1" width="2.140625" style="1" customWidth="1"/>
    <col min="2" max="2" width="11.42578125" style="1"/>
    <col min="3" max="3" width="10" style="1" customWidth="1"/>
    <col min="4" max="4" width="5.7109375" style="1" customWidth="1"/>
    <col min="5" max="5" width="8.5703125" style="1" customWidth="1"/>
    <col min="6" max="6" width="8.28515625" style="1" customWidth="1"/>
    <col min="7" max="7" width="5.85546875" style="1" customWidth="1"/>
    <col min="8" max="8" width="8" style="1" customWidth="1"/>
    <col min="9" max="9" width="8.28515625" style="1" customWidth="1"/>
    <col min="10" max="10" width="6.85546875" style="1" customWidth="1"/>
    <col min="11" max="11" width="6.140625" style="1" customWidth="1"/>
    <col min="12" max="12" width="5.28515625" style="1" customWidth="1"/>
    <col min="13" max="13" width="8.85546875" style="1" customWidth="1"/>
    <col min="14" max="14" width="4" style="1" customWidth="1"/>
    <col min="15" max="15" width="2.7109375" style="1" customWidth="1"/>
    <col min="16" max="16384" width="11.42578125" style="1"/>
  </cols>
  <sheetData>
    <row r="1" spans="1:19" ht="12" customHeight="1" x14ac:dyDescent="0.25">
      <c r="A1" s="12"/>
      <c r="B1" s="12"/>
      <c r="C1" s="12"/>
      <c r="D1" s="12"/>
      <c r="E1" s="12"/>
      <c r="F1" s="13"/>
      <c r="G1" s="13"/>
      <c r="H1" s="13"/>
      <c r="I1" s="13"/>
      <c r="J1" s="13"/>
      <c r="K1" s="13"/>
      <c r="L1" s="13"/>
      <c r="M1" s="13"/>
      <c r="N1" s="13"/>
      <c r="O1" s="13"/>
    </row>
    <row r="2" spans="1:19" ht="18" x14ac:dyDescent="0.25">
      <c r="A2" s="12"/>
      <c r="B2" s="12"/>
      <c r="C2" s="12"/>
      <c r="D2" s="12"/>
      <c r="E2" s="12"/>
      <c r="F2" s="13"/>
      <c r="G2" s="13"/>
      <c r="H2" s="13"/>
      <c r="I2" s="89" t="s">
        <v>22</v>
      </c>
      <c r="J2" s="89"/>
      <c r="K2" s="89"/>
      <c r="L2" s="89"/>
      <c r="M2" s="89"/>
      <c r="N2" s="89"/>
      <c r="O2" s="13"/>
    </row>
    <row r="3" spans="1:19" x14ac:dyDescent="0.25">
      <c r="A3" s="12"/>
      <c r="B3" s="12"/>
      <c r="C3" s="12"/>
      <c r="D3" s="12"/>
      <c r="E3" s="12"/>
      <c r="F3" s="13"/>
      <c r="G3" s="13"/>
      <c r="H3" s="13"/>
      <c r="I3" s="90" t="s">
        <v>21</v>
      </c>
      <c r="J3" s="90"/>
      <c r="K3" s="90"/>
      <c r="L3" s="90"/>
      <c r="M3" s="90"/>
      <c r="N3" s="90"/>
      <c r="O3" s="13"/>
    </row>
    <row r="4" spans="1:19" ht="21" customHeight="1" x14ac:dyDescent="0.25">
      <c r="A4" s="12"/>
      <c r="B4" s="12"/>
      <c r="C4" s="12"/>
      <c r="D4" s="12"/>
      <c r="E4" s="12"/>
      <c r="F4" s="13"/>
      <c r="G4" s="13"/>
      <c r="H4" s="13"/>
      <c r="I4" s="91" t="s">
        <v>28</v>
      </c>
      <c r="J4" s="91"/>
      <c r="K4" s="91"/>
      <c r="L4" s="91"/>
      <c r="M4" s="91"/>
      <c r="N4" s="91"/>
      <c r="O4" s="13"/>
    </row>
    <row r="5" spans="1:19" ht="9.9499999999999993" customHeight="1" x14ac:dyDescent="0.25">
      <c r="A5" s="12"/>
      <c r="B5" s="12"/>
      <c r="C5" s="12"/>
      <c r="D5" s="12"/>
      <c r="E5" s="12"/>
      <c r="F5" s="13"/>
      <c r="G5" s="13"/>
      <c r="H5" s="13"/>
      <c r="I5" s="15"/>
      <c r="J5" s="15"/>
      <c r="K5" s="15"/>
      <c r="L5" s="15"/>
      <c r="M5" s="15"/>
      <c r="N5" s="15"/>
      <c r="O5" s="13"/>
    </row>
    <row r="6" spans="1:19" ht="14.45" customHeight="1" x14ac:dyDescent="0.25">
      <c r="A6" s="13"/>
      <c r="B6" s="79" t="s">
        <v>3</v>
      </c>
      <c r="C6" s="79"/>
      <c r="D6" s="79"/>
      <c r="E6" s="79"/>
      <c r="F6" s="79"/>
      <c r="G6" s="79"/>
      <c r="H6" s="79"/>
      <c r="I6" s="95" t="s">
        <v>110</v>
      </c>
      <c r="J6" s="95"/>
      <c r="K6" s="95"/>
      <c r="L6" s="95"/>
      <c r="M6" s="96">
        <f>NPK!Q7</f>
        <v>20</v>
      </c>
      <c r="N6" s="40"/>
      <c r="O6" s="13"/>
    </row>
    <row r="7" spans="1:19" ht="14.45" customHeight="1" x14ac:dyDescent="0.25">
      <c r="A7" s="13"/>
      <c r="B7" s="79"/>
      <c r="C7" s="79"/>
      <c r="D7" s="79"/>
      <c r="E7" s="79"/>
      <c r="F7" s="79"/>
      <c r="G7" s="79"/>
      <c r="H7" s="79"/>
      <c r="I7" s="95"/>
      <c r="J7" s="95"/>
      <c r="K7" s="95"/>
      <c r="L7" s="95"/>
      <c r="M7" s="96"/>
      <c r="N7" s="40"/>
      <c r="O7" s="13"/>
    </row>
    <row r="8" spans="1:19" ht="8.1" customHeight="1" x14ac:dyDescent="0.25">
      <c r="A8" s="16"/>
      <c r="B8" s="16"/>
      <c r="C8" s="16"/>
      <c r="D8" s="16"/>
      <c r="E8" s="16"/>
      <c r="F8" s="16"/>
      <c r="G8" s="16"/>
      <c r="H8" s="16"/>
      <c r="I8" s="16"/>
      <c r="J8" s="16"/>
      <c r="K8" s="16"/>
      <c r="L8" s="16"/>
      <c r="M8" s="16"/>
      <c r="N8" s="16"/>
      <c r="O8" s="16"/>
    </row>
    <row r="9" spans="1:19" ht="15" customHeight="1" x14ac:dyDescent="0.25">
      <c r="A9" s="16"/>
      <c r="B9" s="93" t="s">
        <v>4</v>
      </c>
      <c r="C9" s="93"/>
      <c r="D9" s="93"/>
      <c r="E9" s="5">
        <v>30</v>
      </c>
      <c r="F9" s="16" t="s">
        <v>5</v>
      </c>
      <c r="G9" s="16"/>
      <c r="H9" s="16"/>
      <c r="I9" s="52"/>
      <c r="J9" s="17" t="s">
        <v>26</v>
      </c>
      <c r="K9" s="41" t="s">
        <v>29</v>
      </c>
      <c r="L9" s="46">
        <v>7</v>
      </c>
      <c r="M9" s="16" t="s">
        <v>30</v>
      </c>
      <c r="N9" s="16"/>
      <c r="O9" s="16"/>
      <c r="R9" s="88"/>
      <c r="S9" s="88"/>
    </row>
    <row r="10" spans="1:19" x14ac:dyDescent="0.25">
      <c r="A10" s="16"/>
      <c r="B10" s="93" t="s">
        <v>14</v>
      </c>
      <c r="C10" s="93"/>
      <c r="D10" s="93"/>
      <c r="E10" s="5">
        <v>1</v>
      </c>
      <c r="F10" s="16" t="s">
        <v>7</v>
      </c>
      <c r="G10" s="16"/>
      <c r="H10" s="94" t="s">
        <v>106</v>
      </c>
      <c r="I10" s="94"/>
      <c r="J10" s="94"/>
      <c r="K10" s="94"/>
      <c r="L10" s="94"/>
      <c r="M10" s="94"/>
      <c r="N10" s="16"/>
      <c r="O10" s="16"/>
    </row>
    <row r="11" spans="1:19" x14ac:dyDescent="0.25">
      <c r="A11" s="16"/>
      <c r="B11" s="93" t="s">
        <v>15</v>
      </c>
      <c r="C11" s="93"/>
      <c r="D11" s="93"/>
      <c r="E11" s="5">
        <v>3</v>
      </c>
      <c r="F11" s="16" t="s">
        <v>7</v>
      </c>
      <c r="G11" s="16"/>
      <c r="H11" s="94"/>
      <c r="I11" s="94"/>
      <c r="J11" s="94"/>
      <c r="K11" s="94"/>
      <c r="L11" s="94"/>
      <c r="M11" s="94"/>
      <c r="N11" s="16"/>
      <c r="O11" s="16"/>
    </row>
    <row r="12" spans="1:19" ht="8.1" customHeight="1" x14ac:dyDescent="0.25">
      <c r="A12" s="16"/>
      <c r="B12" s="16"/>
      <c r="C12" s="16"/>
      <c r="D12" s="16"/>
      <c r="E12" s="16"/>
      <c r="F12" s="16"/>
      <c r="G12" s="16"/>
      <c r="H12" s="16"/>
      <c r="I12" s="16"/>
      <c r="J12" s="16"/>
      <c r="K12" s="16"/>
      <c r="L12" s="16"/>
      <c r="M12" s="16"/>
      <c r="N12" s="16"/>
      <c r="O12" s="16"/>
    </row>
    <row r="13" spans="1:19" ht="14.45" customHeight="1" x14ac:dyDescent="0.25">
      <c r="A13" s="13"/>
      <c r="B13" s="79" t="s">
        <v>23</v>
      </c>
      <c r="C13" s="79"/>
      <c r="D13" s="79"/>
      <c r="E13" s="79"/>
      <c r="F13" s="79"/>
      <c r="G13" s="79"/>
      <c r="H13" s="79"/>
      <c r="I13" s="79"/>
      <c r="J13" s="79"/>
      <c r="K13" s="79"/>
      <c r="L13" s="79"/>
      <c r="M13" s="79"/>
      <c r="N13" s="79"/>
      <c r="O13" s="13"/>
    </row>
    <row r="14" spans="1:19" ht="14.45" customHeight="1" x14ac:dyDescent="0.25">
      <c r="A14" s="13"/>
      <c r="B14" s="79"/>
      <c r="C14" s="79"/>
      <c r="D14" s="79"/>
      <c r="E14" s="79"/>
      <c r="F14" s="79"/>
      <c r="G14" s="79"/>
      <c r="H14" s="79"/>
      <c r="I14" s="79"/>
      <c r="J14" s="79"/>
      <c r="K14" s="79"/>
      <c r="L14" s="79"/>
      <c r="M14" s="79"/>
      <c r="N14" s="79"/>
      <c r="O14" s="13"/>
    </row>
    <row r="15" spans="1:19" ht="8.1" customHeight="1" x14ac:dyDescent="0.25">
      <c r="A15" s="16"/>
      <c r="B15" s="16"/>
      <c r="C15" s="16"/>
      <c r="D15" s="16"/>
      <c r="E15" s="16"/>
      <c r="F15" s="16"/>
      <c r="G15" s="16"/>
      <c r="H15" s="16"/>
      <c r="I15" s="16"/>
      <c r="J15" s="16"/>
      <c r="K15" s="16"/>
      <c r="L15" s="16"/>
      <c r="M15" s="16"/>
      <c r="N15" s="16"/>
      <c r="O15" s="16"/>
    </row>
    <row r="16" spans="1:19" ht="15" customHeight="1" x14ac:dyDescent="0.25">
      <c r="A16" s="16"/>
      <c r="B16" s="16"/>
      <c r="C16" s="16"/>
      <c r="D16" s="16"/>
      <c r="E16" s="17" t="s">
        <v>24</v>
      </c>
      <c r="F16" s="42">
        <f>IF(E9&gt;0,M16*1000/E9,0)</f>
        <v>71.22</v>
      </c>
      <c r="G16" s="16" t="s">
        <v>1</v>
      </c>
      <c r="H16" s="16"/>
      <c r="I16" s="16"/>
      <c r="J16" s="16"/>
      <c r="K16" s="16"/>
      <c r="L16" s="17" t="s">
        <v>92</v>
      </c>
      <c r="M16" s="43">
        <f>(E11-E10)*3.561/100*E9</f>
        <v>2.1366000000000001</v>
      </c>
      <c r="N16" s="16" t="s">
        <v>17</v>
      </c>
      <c r="O16" s="16"/>
      <c r="P16" s="2"/>
    </row>
    <row r="17" spans="1:16" ht="15" customHeight="1" x14ac:dyDescent="0.25">
      <c r="A17" s="16"/>
      <c r="B17" s="16"/>
      <c r="C17" s="16"/>
      <c r="D17" s="16"/>
      <c r="E17" s="17" t="s">
        <v>20</v>
      </c>
      <c r="F17" s="42">
        <f>39.0983/100.115*F16</f>
        <v>27.8138233631324</v>
      </c>
      <c r="G17" s="16" t="s">
        <v>1</v>
      </c>
      <c r="H17" s="16"/>
      <c r="I17" s="93" t="s">
        <v>16</v>
      </c>
      <c r="J17" s="93"/>
      <c r="K17" s="93"/>
      <c r="L17" s="93"/>
      <c r="M17" s="92" t="str">
        <f>IF(F16/1000&gt;Solubilidad!P8,"Insoluble",IF(F16/1000&gt;Solubilidad!P8/2,"Poco soluble","Soluble"))</f>
        <v>Soluble</v>
      </c>
      <c r="N17" s="92"/>
      <c r="O17" s="16"/>
      <c r="P17" s="2"/>
    </row>
    <row r="18" spans="1:16" ht="8.1" customHeight="1" x14ac:dyDescent="0.25">
      <c r="A18" s="16"/>
      <c r="B18" s="16"/>
      <c r="C18" s="16"/>
      <c r="D18" s="16"/>
      <c r="E18" s="16"/>
      <c r="F18" s="16"/>
      <c r="G18" s="16"/>
      <c r="H18" s="16"/>
      <c r="I18" s="16"/>
      <c r="J18" s="16"/>
      <c r="K18" s="16"/>
      <c r="L18" s="16"/>
      <c r="M18" s="16"/>
      <c r="N18" s="16"/>
      <c r="O18" s="16"/>
    </row>
    <row r="19" spans="1:16" ht="14.45" customHeight="1" x14ac:dyDescent="0.25">
      <c r="A19" s="13"/>
      <c r="B19" s="79" t="s">
        <v>25</v>
      </c>
      <c r="C19" s="79"/>
      <c r="D19" s="79"/>
      <c r="E19" s="79"/>
      <c r="F19" s="79"/>
      <c r="G19" s="79"/>
      <c r="H19" s="79"/>
      <c r="I19" s="79"/>
      <c r="J19" s="79"/>
      <c r="K19" s="79"/>
      <c r="L19" s="79"/>
      <c r="M19" s="79"/>
      <c r="N19" s="79"/>
      <c r="O19" s="13"/>
    </row>
    <row r="20" spans="1:16" ht="14.45" customHeight="1" x14ac:dyDescent="0.25">
      <c r="A20" s="13"/>
      <c r="B20" s="79"/>
      <c r="C20" s="79"/>
      <c r="D20" s="79"/>
      <c r="E20" s="79"/>
      <c r="F20" s="79"/>
      <c r="G20" s="79"/>
      <c r="H20" s="79"/>
      <c r="I20" s="79"/>
      <c r="J20" s="79"/>
      <c r="K20" s="79"/>
      <c r="L20" s="79"/>
      <c r="M20" s="79"/>
      <c r="N20" s="79"/>
      <c r="O20" s="13"/>
    </row>
    <row r="21" spans="1:16" ht="8.1" customHeight="1" x14ac:dyDescent="0.25">
      <c r="A21" s="16"/>
      <c r="B21" s="16"/>
      <c r="C21" s="16"/>
      <c r="D21" s="16"/>
      <c r="E21" s="16"/>
      <c r="F21" s="16"/>
      <c r="G21" s="16"/>
      <c r="H21" s="16"/>
      <c r="I21" s="16"/>
      <c r="J21" s="16"/>
      <c r="K21" s="16"/>
      <c r="L21" s="16"/>
      <c r="M21" s="16"/>
      <c r="N21" s="16"/>
      <c r="O21" s="16"/>
    </row>
    <row r="22" spans="1:16" x14ac:dyDescent="0.25">
      <c r="A22" s="16"/>
      <c r="B22" s="16"/>
      <c r="C22" s="16"/>
      <c r="D22" s="17" t="s">
        <v>39</v>
      </c>
      <c r="E22" s="5">
        <v>500</v>
      </c>
      <c r="F22" s="16" t="s">
        <v>0</v>
      </c>
      <c r="G22" s="97" t="s">
        <v>127</v>
      </c>
      <c r="H22" s="97"/>
      <c r="I22" s="97"/>
      <c r="J22" s="97"/>
      <c r="K22" s="97"/>
      <c r="L22" s="97"/>
      <c r="M22" s="42">
        <f>Solubilidad!P8</f>
        <v>333.25</v>
      </c>
      <c r="N22" s="16" t="s">
        <v>18</v>
      </c>
      <c r="O22" s="16"/>
    </row>
    <row r="23" spans="1:16" ht="15" customHeight="1" x14ac:dyDescent="0.25">
      <c r="A23" s="16"/>
      <c r="B23" s="16"/>
      <c r="C23" s="16"/>
      <c r="D23" s="17" t="s">
        <v>13</v>
      </c>
      <c r="E23" s="5">
        <v>15</v>
      </c>
      <c r="F23" s="16" t="s">
        <v>0</v>
      </c>
      <c r="G23" s="97" t="s">
        <v>128</v>
      </c>
      <c r="H23" s="97"/>
      <c r="I23" s="97"/>
      <c r="J23" s="97"/>
      <c r="K23" s="97"/>
      <c r="L23" s="97"/>
      <c r="M23" s="42">
        <f>M26/E22*1000</f>
        <v>142.44</v>
      </c>
      <c r="N23" s="16" t="s">
        <v>18</v>
      </c>
      <c r="O23" s="16"/>
    </row>
    <row r="24" spans="1:16" ht="15" customHeight="1" x14ac:dyDescent="0.25">
      <c r="A24" s="16"/>
      <c r="B24" s="16"/>
      <c r="C24" s="16"/>
      <c r="D24" s="17" t="s">
        <v>107</v>
      </c>
      <c r="E24" s="6">
        <f>E22/E23</f>
        <v>33.333333333333336</v>
      </c>
      <c r="F24" s="16" t="s">
        <v>108</v>
      </c>
      <c r="G24" s="52"/>
      <c r="H24" s="52"/>
      <c r="I24" s="52"/>
      <c r="J24" s="93" t="s">
        <v>16</v>
      </c>
      <c r="K24" s="93"/>
      <c r="L24" s="93"/>
      <c r="M24" s="92" t="str">
        <f>IF(M23&gt;M22,"Insoluble",IF(M23&gt;M22/2,"Poco soluble","Soluble"))</f>
        <v>Soluble</v>
      </c>
      <c r="N24" s="92"/>
      <c r="O24" s="16"/>
    </row>
    <row r="25" spans="1:16" ht="8.1" customHeight="1" x14ac:dyDescent="0.25">
      <c r="A25" s="16"/>
      <c r="B25" s="16"/>
      <c r="C25" s="16"/>
      <c r="D25" s="17"/>
      <c r="E25" s="6"/>
      <c r="F25" s="16"/>
      <c r="G25" s="52"/>
      <c r="H25" s="52"/>
      <c r="I25" s="52"/>
      <c r="J25" s="51"/>
      <c r="K25" s="51"/>
      <c r="L25" s="51"/>
      <c r="M25" s="51"/>
      <c r="N25" s="51"/>
      <c r="O25" s="16"/>
    </row>
    <row r="26" spans="1:16" ht="17.25" x14ac:dyDescent="0.25">
      <c r="A26" s="16"/>
      <c r="B26" s="16"/>
      <c r="C26" s="16"/>
      <c r="D26" s="17"/>
      <c r="E26" s="6"/>
      <c r="F26" s="16"/>
      <c r="G26" s="16"/>
      <c r="H26" s="16"/>
      <c r="I26" s="16"/>
      <c r="J26" s="16"/>
      <c r="K26" s="16"/>
      <c r="L26" s="17" t="s">
        <v>129</v>
      </c>
      <c r="M26" s="44">
        <f>ROUND(M16*E22/E23,2)</f>
        <v>71.22</v>
      </c>
      <c r="N26" s="16" t="s">
        <v>17</v>
      </c>
      <c r="O26" s="16"/>
    </row>
    <row r="27" spans="1:16" ht="8.1" customHeight="1" x14ac:dyDescent="0.25">
      <c r="A27" s="16"/>
      <c r="B27" s="16"/>
      <c r="C27" s="16"/>
      <c r="D27" s="16"/>
      <c r="E27" s="16"/>
      <c r="F27" s="16"/>
      <c r="G27" s="16"/>
      <c r="H27" s="16"/>
      <c r="I27" s="16"/>
      <c r="J27" s="16"/>
      <c r="K27" s="16"/>
      <c r="L27" s="16"/>
      <c r="M27" s="16"/>
      <c r="N27" s="16"/>
      <c r="O27" s="16"/>
    </row>
    <row r="28" spans="1:16" x14ac:dyDescent="0.25">
      <c r="A28" s="34"/>
      <c r="B28" s="79" t="s">
        <v>86</v>
      </c>
      <c r="C28" s="79"/>
      <c r="D28" s="79"/>
      <c r="E28" s="79"/>
      <c r="F28" s="79"/>
      <c r="G28" s="79"/>
      <c r="H28" s="79"/>
      <c r="I28" s="79"/>
      <c r="J28" s="79"/>
      <c r="K28" s="79"/>
      <c r="L28" s="79"/>
      <c r="M28" s="79"/>
      <c r="N28" s="79"/>
      <c r="O28" s="40"/>
    </row>
    <row r="29" spans="1:16" x14ac:dyDescent="0.25">
      <c r="A29" s="34"/>
      <c r="B29" s="79"/>
      <c r="C29" s="79"/>
      <c r="D29" s="79"/>
      <c r="E29" s="79"/>
      <c r="F29" s="79"/>
      <c r="G29" s="79"/>
      <c r="H29" s="79"/>
      <c r="I29" s="79"/>
      <c r="J29" s="79"/>
      <c r="K29" s="79"/>
      <c r="L29" s="79"/>
      <c r="M29" s="79"/>
      <c r="N29" s="79"/>
      <c r="O29" s="40"/>
    </row>
    <row r="30" spans="1:16" ht="8.1" customHeight="1" x14ac:dyDescent="0.25">
      <c r="A30" s="16"/>
      <c r="B30" s="16"/>
      <c r="C30" s="16"/>
      <c r="D30" s="16"/>
      <c r="E30" s="16"/>
      <c r="F30" s="16"/>
      <c r="G30" s="16"/>
      <c r="H30" s="16"/>
      <c r="I30" s="16"/>
      <c r="J30" s="16"/>
      <c r="K30" s="16"/>
      <c r="L30" s="16"/>
      <c r="M30" s="16"/>
      <c r="N30" s="16"/>
      <c r="O30" s="16"/>
    </row>
    <row r="31" spans="1:16" x14ac:dyDescent="0.25">
      <c r="A31" s="36"/>
      <c r="B31" s="37" t="s">
        <v>101</v>
      </c>
      <c r="C31" s="36"/>
      <c r="D31" s="36"/>
      <c r="E31" s="36"/>
      <c r="F31" s="36"/>
      <c r="G31" s="36"/>
      <c r="H31" s="36"/>
      <c r="I31" s="36"/>
      <c r="J31" s="36"/>
      <c r="K31" s="36"/>
      <c r="L31" s="36"/>
      <c r="M31" s="36"/>
      <c r="N31" s="36"/>
      <c r="O31" s="36"/>
    </row>
    <row r="32" spans="1:16" ht="15" customHeight="1" x14ac:dyDescent="0.25">
      <c r="A32" s="36"/>
      <c r="B32" s="77" t="s">
        <v>102</v>
      </c>
      <c r="C32" s="77"/>
      <c r="D32" s="77"/>
      <c r="E32" s="77"/>
      <c r="F32" s="77"/>
      <c r="G32" s="77"/>
      <c r="H32" s="77"/>
      <c r="I32" s="77"/>
      <c r="J32" s="77"/>
      <c r="K32" s="77"/>
      <c r="L32" s="77"/>
      <c r="M32" s="77"/>
      <c r="N32" s="77"/>
      <c r="O32" s="36"/>
    </row>
    <row r="33" spans="1:15" x14ac:dyDescent="0.25">
      <c r="A33" s="36"/>
      <c r="B33" s="77"/>
      <c r="C33" s="77"/>
      <c r="D33" s="77"/>
      <c r="E33" s="77"/>
      <c r="F33" s="77"/>
      <c r="G33" s="77"/>
      <c r="H33" s="77"/>
      <c r="I33" s="77"/>
      <c r="J33" s="77"/>
      <c r="K33" s="77"/>
      <c r="L33" s="77"/>
      <c r="M33" s="77"/>
      <c r="N33" s="77"/>
      <c r="O33" s="36"/>
    </row>
    <row r="34" spans="1:15" x14ac:dyDescent="0.25">
      <c r="A34" s="36"/>
      <c r="B34" s="38" t="s">
        <v>132</v>
      </c>
      <c r="C34" s="50"/>
      <c r="D34" s="50"/>
      <c r="E34" s="50"/>
      <c r="F34" s="50"/>
      <c r="G34" s="50"/>
      <c r="H34" s="50"/>
      <c r="I34" s="50"/>
      <c r="J34" s="50"/>
      <c r="K34" s="50"/>
      <c r="L34" s="50"/>
      <c r="M34" s="50"/>
      <c r="N34" s="50"/>
      <c r="O34" s="36"/>
    </row>
    <row r="35" spans="1:15" x14ac:dyDescent="0.25">
      <c r="A35" s="36"/>
      <c r="B35" s="38" t="s">
        <v>141</v>
      </c>
      <c r="C35" s="50"/>
      <c r="D35" s="50"/>
      <c r="E35" s="50"/>
      <c r="F35" s="50"/>
      <c r="G35" s="50"/>
      <c r="H35" s="50"/>
      <c r="I35" s="50"/>
      <c r="J35" s="50"/>
      <c r="K35" s="50"/>
      <c r="L35" s="50"/>
      <c r="M35" s="50"/>
      <c r="N35" s="50"/>
      <c r="O35" s="36"/>
    </row>
    <row r="36" spans="1:15" x14ac:dyDescent="0.25">
      <c r="A36" s="16"/>
      <c r="B36" s="16"/>
      <c r="C36" s="16"/>
      <c r="D36" s="16"/>
      <c r="E36" s="16"/>
      <c r="F36" s="16"/>
      <c r="G36" s="16"/>
      <c r="H36" s="16"/>
      <c r="I36" s="16"/>
      <c r="J36" s="16"/>
      <c r="K36" s="16"/>
      <c r="L36" s="16"/>
      <c r="M36" s="16"/>
      <c r="N36" s="16"/>
      <c r="O36" s="16"/>
    </row>
  </sheetData>
  <sheetProtection algorithmName="SHA-512" hashValue="N1hEgzpFFA3lOyn44DW2kgyvtfiNQ5Hu6XjGiSXMNfVAI8IW2VomBF5O8zgzX749Qb1oOHWkTij2IsXPZdx1QQ==" saltValue="AijcFqC/7ziIJDEMPcOplA==" spinCount="100000" sheet="1" formatCells="0" formatColumns="0" formatRows="0" insertColumns="0" insertRows="0" insertHyperlinks="0" deleteColumns="0" deleteRows="0" sort="0" autoFilter="0" pivotTables="0"/>
  <mergeCells count="21">
    <mergeCell ref="B32:N33"/>
    <mergeCell ref="B28:N29"/>
    <mergeCell ref="B6:H7"/>
    <mergeCell ref="J24:L24"/>
    <mergeCell ref="B13:N14"/>
    <mergeCell ref="H10:M11"/>
    <mergeCell ref="B19:N20"/>
    <mergeCell ref="B9:D9"/>
    <mergeCell ref="B10:D10"/>
    <mergeCell ref="B11:D11"/>
    <mergeCell ref="I6:L7"/>
    <mergeCell ref="M6:M7"/>
    <mergeCell ref="G23:L23"/>
    <mergeCell ref="G22:L22"/>
    <mergeCell ref="M24:N24"/>
    <mergeCell ref="R9:S9"/>
    <mergeCell ref="I2:N2"/>
    <mergeCell ref="I3:N3"/>
    <mergeCell ref="I4:N4"/>
    <mergeCell ref="M17:N17"/>
    <mergeCell ref="I17:L17"/>
  </mergeCells>
  <conditionalFormatting sqref="M17:N17">
    <cfRule type="cellIs" dxfId="12" priority="3" operator="equal">
      <formula>"Poco soluble"</formula>
    </cfRule>
    <cfRule type="cellIs" dxfId="11" priority="4" operator="equal">
      <formula>"Insoluble"</formula>
    </cfRule>
  </conditionalFormatting>
  <conditionalFormatting sqref="J25:N25 M24">
    <cfRule type="cellIs" dxfId="10" priority="2" operator="equal">
      <formula>"Insoluble"</formula>
    </cfRule>
  </conditionalFormatting>
  <conditionalFormatting sqref="M24:N24">
    <cfRule type="cellIs" dxfId="9" priority="1" operator="equal">
      <formula>"Poco soluble"</formula>
    </cfRule>
  </conditionalFormatting>
  <dataValidations disablePrompts="1" count="1">
    <dataValidation type="list" allowBlank="1" showInputMessage="1" showErrorMessage="1" sqref="R9:S9" xr:uid="{626D7E2D-ACCB-47C4-8223-0D87B0A2B50B}">
      <formula1>$L$6:$L$7</formula1>
    </dataValidation>
  </dataValidations>
  <pageMargins left="0.7" right="0.7" top="0.75" bottom="0.75" header="0.3" footer="0.3"/>
  <pageSetup paperSize="9"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42"/>
  <sheetViews>
    <sheetView showGridLines="0" showRowColHeaders="0" zoomScale="120" zoomScaleNormal="120" workbookViewId="0">
      <selection activeCell="X19" sqref="X19"/>
    </sheetView>
  </sheetViews>
  <sheetFormatPr baseColWidth="10" defaultColWidth="11.42578125" defaultRowHeight="15" x14ac:dyDescent="0.25"/>
  <cols>
    <col min="1" max="1" width="2.140625" style="1" customWidth="1"/>
    <col min="2" max="2" width="10.7109375" style="1" customWidth="1"/>
    <col min="3" max="5" width="8.7109375" style="1" customWidth="1"/>
    <col min="6" max="6" width="8.28515625" style="1" customWidth="1"/>
    <col min="7" max="7" width="5.85546875" style="1" customWidth="1"/>
    <col min="8" max="8" width="9.5703125" style="1" customWidth="1"/>
    <col min="9" max="9" width="12" style="1" customWidth="1"/>
    <col min="10" max="10" width="5.7109375" style="1" customWidth="1"/>
    <col min="11" max="11" width="2.28515625" style="1" customWidth="1"/>
    <col min="12" max="14" width="5.7109375" style="1" customWidth="1"/>
    <col min="15" max="15" width="2.7109375" style="1" customWidth="1"/>
    <col min="16" max="16" width="11.42578125" style="1"/>
    <col min="17" max="17" width="11.42578125" style="1" customWidth="1"/>
    <col min="18" max="16384" width="11.42578125" style="1"/>
  </cols>
  <sheetData>
    <row r="1" spans="1:15" ht="12" customHeight="1" x14ac:dyDescent="0.25">
      <c r="A1" s="12"/>
      <c r="B1" s="12"/>
      <c r="C1" s="12"/>
      <c r="D1" s="12"/>
      <c r="E1" s="12"/>
      <c r="F1" s="13"/>
      <c r="G1" s="13"/>
      <c r="H1" s="13"/>
      <c r="I1" s="13"/>
      <c r="J1" s="13"/>
      <c r="K1" s="13"/>
      <c r="L1" s="13"/>
      <c r="M1" s="13"/>
      <c r="N1" s="13"/>
      <c r="O1" s="13"/>
    </row>
    <row r="2" spans="1:15" ht="18" x14ac:dyDescent="0.25">
      <c r="A2" s="12"/>
      <c r="B2" s="12"/>
      <c r="C2" s="12"/>
      <c r="D2" s="12"/>
      <c r="E2" s="12"/>
      <c r="F2" s="13"/>
      <c r="G2" s="13"/>
      <c r="H2" s="13"/>
      <c r="I2" s="89" t="s">
        <v>31</v>
      </c>
      <c r="J2" s="89"/>
      <c r="K2" s="89"/>
      <c r="L2" s="89"/>
      <c r="M2" s="89"/>
      <c r="N2" s="89"/>
      <c r="O2" s="13"/>
    </row>
    <row r="3" spans="1:15" ht="15" customHeight="1" x14ac:dyDescent="0.25">
      <c r="A3" s="12"/>
      <c r="B3" s="12"/>
      <c r="C3" s="12"/>
      <c r="D3" s="12"/>
      <c r="E3" s="12"/>
      <c r="F3" s="13"/>
      <c r="G3" s="13"/>
      <c r="H3" s="13"/>
      <c r="I3" s="90" t="s">
        <v>34</v>
      </c>
      <c r="J3" s="90"/>
      <c r="K3" s="90"/>
      <c r="L3" s="90"/>
      <c r="M3" s="90"/>
      <c r="N3" s="90"/>
      <c r="O3" s="13"/>
    </row>
    <row r="4" spans="1:15" ht="15" customHeight="1" x14ac:dyDescent="0.25">
      <c r="A4" s="12"/>
      <c r="B4" s="12"/>
      <c r="C4" s="12"/>
      <c r="D4" s="12"/>
      <c r="E4" s="12"/>
      <c r="F4" s="13"/>
      <c r="G4" s="13"/>
      <c r="H4" s="13"/>
      <c r="I4" s="90" t="s">
        <v>10</v>
      </c>
      <c r="J4" s="90"/>
      <c r="K4" s="90"/>
      <c r="L4" s="90"/>
      <c r="M4" s="90"/>
      <c r="N4" s="90"/>
      <c r="O4" s="13"/>
    </row>
    <row r="5" spans="1:15" ht="15.95" customHeight="1" x14ac:dyDescent="0.25">
      <c r="A5" s="12"/>
      <c r="B5" s="12"/>
      <c r="C5" s="12"/>
      <c r="D5" s="12"/>
      <c r="E5" s="12"/>
      <c r="F5" s="13"/>
      <c r="G5" s="13"/>
      <c r="H5" s="13"/>
      <c r="I5" s="98" t="s">
        <v>32</v>
      </c>
      <c r="J5" s="98"/>
      <c r="K5" s="99" t="s">
        <v>33</v>
      </c>
      <c r="L5" s="99"/>
      <c r="M5" s="99"/>
      <c r="N5" s="99"/>
      <c r="O5" s="13"/>
    </row>
    <row r="6" spans="1:15" ht="14.45" customHeight="1" x14ac:dyDescent="0.25">
      <c r="A6" s="13"/>
      <c r="B6" s="79" t="s">
        <v>3</v>
      </c>
      <c r="C6" s="79"/>
      <c r="D6" s="79"/>
      <c r="E6" s="79"/>
      <c r="F6" s="79"/>
      <c r="G6" s="40"/>
      <c r="H6" s="40"/>
      <c r="I6" s="95" t="s">
        <v>110</v>
      </c>
      <c r="J6" s="95"/>
      <c r="K6" s="95"/>
      <c r="L6" s="95"/>
      <c r="M6" s="96">
        <f>NPK!Q7</f>
        <v>20</v>
      </c>
      <c r="N6" s="96"/>
      <c r="O6" s="13"/>
    </row>
    <row r="7" spans="1:15" ht="14.45" customHeight="1" x14ac:dyDescent="0.25">
      <c r="A7" s="13"/>
      <c r="B7" s="79"/>
      <c r="C7" s="79"/>
      <c r="D7" s="79"/>
      <c r="E7" s="79"/>
      <c r="F7" s="79"/>
      <c r="G7" s="40"/>
      <c r="H7" s="40"/>
      <c r="I7" s="95"/>
      <c r="J7" s="95"/>
      <c r="K7" s="95"/>
      <c r="L7" s="95"/>
      <c r="M7" s="96"/>
      <c r="N7" s="96"/>
      <c r="O7" s="13"/>
    </row>
    <row r="8" spans="1:15" ht="8.1" customHeight="1" x14ac:dyDescent="0.25">
      <c r="A8" s="16"/>
      <c r="B8" s="16"/>
      <c r="C8" s="16"/>
      <c r="D8" s="16"/>
      <c r="E8" s="16"/>
      <c r="F8" s="16"/>
      <c r="G8" s="16"/>
      <c r="H8" s="16"/>
      <c r="I8" s="16"/>
      <c r="J8" s="16"/>
      <c r="K8" s="16"/>
      <c r="L8" s="16"/>
      <c r="M8" s="16"/>
      <c r="N8" s="16"/>
      <c r="O8" s="16"/>
    </row>
    <row r="9" spans="1:15" ht="14.45" customHeight="1" x14ac:dyDescent="0.25">
      <c r="A9" s="16"/>
      <c r="B9" s="93" t="s">
        <v>4</v>
      </c>
      <c r="C9" s="93"/>
      <c r="D9" s="93"/>
      <c r="E9" s="5">
        <v>30</v>
      </c>
      <c r="F9" s="16" t="s">
        <v>5</v>
      </c>
      <c r="G9" s="16"/>
      <c r="H9" s="16"/>
      <c r="I9" s="17" t="s">
        <v>19</v>
      </c>
      <c r="J9" s="5">
        <v>3</v>
      </c>
      <c r="K9" s="45" t="s">
        <v>9</v>
      </c>
      <c r="L9" s="5">
        <v>1</v>
      </c>
      <c r="M9" s="16"/>
      <c r="N9" s="16"/>
      <c r="O9" s="16"/>
    </row>
    <row r="10" spans="1:15" ht="15" customHeight="1" x14ac:dyDescent="0.25">
      <c r="A10" s="16"/>
      <c r="B10" s="93" t="s">
        <v>6</v>
      </c>
      <c r="C10" s="93"/>
      <c r="D10" s="93"/>
      <c r="E10" s="5">
        <v>2</v>
      </c>
      <c r="F10" s="16" t="s">
        <v>7</v>
      </c>
      <c r="G10" s="16"/>
      <c r="H10" s="100" t="s">
        <v>40</v>
      </c>
      <c r="I10" s="100"/>
      <c r="J10" s="100"/>
      <c r="K10" s="100"/>
      <c r="L10" s="100"/>
      <c r="M10" s="16"/>
      <c r="N10" s="16"/>
      <c r="O10" s="16"/>
    </row>
    <row r="11" spans="1:15" ht="15" customHeight="1" x14ac:dyDescent="0.25">
      <c r="A11" s="16"/>
      <c r="B11" s="93" t="s">
        <v>8</v>
      </c>
      <c r="C11" s="93"/>
      <c r="D11" s="93"/>
      <c r="E11" s="5">
        <v>7</v>
      </c>
      <c r="F11" s="16" t="s">
        <v>7</v>
      </c>
      <c r="G11" s="16"/>
      <c r="H11" s="100"/>
      <c r="I11" s="100"/>
      <c r="J11" s="100"/>
      <c r="K11" s="100"/>
      <c r="L11" s="100"/>
      <c r="M11" s="16"/>
      <c r="N11" s="16"/>
      <c r="O11" s="16"/>
    </row>
    <row r="12" spans="1:15" ht="8.1" customHeight="1" x14ac:dyDescent="0.25">
      <c r="A12" s="16"/>
      <c r="B12" s="16"/>
      <c r="C12" s="16"/>
      <c r="D12" s="16"/>
      <c r="E12" s="16"/>
      <c r="F12" s="16"/>
      <c r="G12" s="16"/>
      <c r="H12" s="16"/>
      <c r="I12" s="16"/>
      <c r="J12" s="16"/>
      <c r="K12" s="16"/>
      <c r="L12" s="16"/>
      <c r="M12" s="16"/>
      <c r="N12" s="16"/>
      <c r="O12" s="16"/>
    </row>
    <row r="13" spans="1:15" ht="15" customHeight="1" x14ac:dyDescent="0.25">
      <c r="A13" s="13"/>
      <c r="B13" s="79" t="s">
        <v>23</v>
      </c>
      <c r="C13" s="79"/>
      <c r="D13" s="79"/>
      <c r="E13" s="79"/>
      <c r="F13" s="79"/>
      <c r="G13" s="79"/>
      <c r="H13" s="79"/>
      <c r="I13" s="79"/>
      <c r="J13" s="79"/>
      <c r="K13" s="79"/>
      <c r="L13" s="79"/>
      <c r="M13" s="79"/>
      <c r="N13" s="79"/>
      <c r="O13" s="13"/>
    </row>
    <row r="14" spans="1:15" ht="15" customHeight="1" x14ac:dyDescent="0.25">
      <c r="A14" s="13"/>
      <c r="B14" s="79"/>
      <c r="C14" s="79"/>
      <c r="D14" s="79"/>
      <c r="E14" s="79"/>
      <c r="F14" s="79"/>
      <c r="G14" s="79"/>
      <c r="H14" s="79"/>
      <c r="I14" s="79"/>
      <c r="J14" s="79"/>
      <c r="K14" s="79"/>
      <c r="L14" s="79"/>
      <c r="M14" s="79"/>
      <c r="N14" s="79"/>
      <c r="O14" s="13"/>
    </row>
    <row r="15" spans="1:15" ht="8.1" customHeight="1" x14ac:dyDescent="0.25">
      <c r="A15" s="16"/>
      <c r="B15" s="16"/>
      <c r="C15" s="16"/>
      <c r="D15" s="16"/>
      <c r="E15" s="16"/>
      <c r="F15" s="16"/>
      <c r="G15" s="16"/>
      <c r="H15" s="16"/>
      <c r="I15" s="16"/>
      <c r="J15" s="16"/>
      <c r="K15" s="16"/>
      <c r="L15" s="16"/>
      <c r="M15" s="16"/>
      <c r="N15" s="16"/>
      <c r="O15" s="16"/>
    </row>
    <row r="16" spans="1:15" ht="15" customHeight="1" x14ac:dyDescent="0.25">
      <c r="A16" s="16"/>
      <c r="B16" s="16"/>
      <c r="C16" s="16"/>
      <c r="D16" s="17" t="s">
        <v>94</v>
      </c>
      <c r="E16" s="16">
        <f>($E$11-$E$10)*$J$9/($J$9+$L$9)</f>
        <v>3.75</v>
      </c>
      <c r="F16" s="16" t="s">
        <v>7</v>
      </c>
      <c r="G16" s="16"/>
      <c r="H16" s="16"/>
      <c r="I16" s="16"/>
      <c r="J16" s="16"/>
      <c r="K16" s="17" t="s">
        <v>93</v>
      </c>
      <c r="L16" s="93">
        <f>($E$11-$E$10)*$L$9/($J$9+$L$9)</f>
        <v>1.25</v>
      </c>
      <c r="M16" s="93"/>
      <c r="N16" s="16" t="s">
        <v>7</v>
      </c>
      <c r="O16" s="16"/>
    </row>
    <row r="17" spans="1:15" ht="15.75" customHeight="1" x14ac:dyDescent="0.25">
      <c r="A17" s="16"/>
      <c r="B17" s="16"/>
      <c r="C17" s="16"/>
      <c r="D17" s="17" t="s">
        <v>37</v>
      </c>
      <c r="E17" s="42">
        <f>E16*17.8*110.98/100.0869</f>
        <v>74.014831111763883</v>
      </c>
      <c r="F17" s="16" t="s">
        <v>1</v>
      </c>
      <c r="G17" s="16"/>
      <c r="H17" s="16"/>
      <c r="I17" s="16"/>
      <c r="J17" s="16"/>
      <c r="K17" s="17" t="s">
        <v>38</v>
      </c>
      <c r="L17" s="97">
        <f>L16*17.8*246.47/100.0869</f>
        <v>54.791960786076892</v>
      </c>
      <c r="M17" s="97"/>
      <c r="N17" s="23" t="s">
        <v>1</v>
      </c>
      <c r="O17" s="16"/>
    </row>
    <row r="18" spans="1:15" ht="15" customHeight="1" x14ac:dyDescent="0.25">
      <c r="A18" s="16"/>
      <c r="B18" s="16"/>
      <c r="C18" s="16"/>
      <c r="D18" s="17" t="s">
        <v>35</v>
      </c>
      <c r="E18" s="43">
        <f>E17*$E$9/1000</f>
        <v>2.2204449333529164</v>
      </c>
      <c r="F18" s="16" t="s">
        <v>17</v>
      </c>
      <c r="G18" s="16"/>
      <c r="H18" s="16"/>
      <c r="I18" s="16"/>
      <c r="J18" s="16"/>
      <c r="K18" s="17" t="s">
        <v>36</v>
      </c>
      <c r="L18" s="102">
        <f>L17*$E$9/1000</f>
        <v>1.6437588235823068</v>
      </c>
      <c r="M18" s="102"/>
      <c r="N18" s="16" t="s">
        <v>17</v>
      </c>
      <c r="O18" s="16"/>
    </row>
    <row r="19" spans="1:15" ht="15" customHeight="1" x14ac:dyDescent="0.25">
      <c r="A19" s="16"/>
      <c r="B19" s="16"/>
      <c r="C19" s="16"/>
      <c r="D19" s="17" t="s">
        <v>11</v>
      </c>
      <c r="E19" s="101" t="str">
        <f>IF((E17+L17)/1000*10&gt;Solubilidad!O9,"Insoluble",IF((E17+L17)/1000*10&gt;Solubilidad!O9/2,"Poco soluble","Sin errores"))</f>
        <v>Sin errores</v>
      </c>
      <c r="F19" s="101"/>
      <c r="G19" s="16"/>
      <c r="H19" s="16"/>
      <c r="I19" s="16"/>
      <c r="J19" s="16"/>
      <c r="K19" s="17" t="s">
        <v>12</v>
      </c>
      <c r="L19" s="92" t="str">
        <f>IF((E17+L17)/1000*10&gt;Solubilidad!O11,"Insoluble",IF((E17+L17)/1000*10&gt;Solubilidad!O11/2,"Poco soluble","Sin errores"))</f>
        <v>Sin errores</v>
      </c>
      <c r="M19" s="92"/>
      <c r="N19" s="92"/>
      <c r="O19" s="16"/>
    </row>
    <row r="20" spans="1:15" ht="8.1" customHeight="1" x14ac:dyDescent="0.25">
      <c r="A20" s="16"/>
      <c r="B20" s="16"/>
      <c r="C20" s="16"/>
      <c r="D20" s="16"/>
      <c r="E20" s="16"/>
      <c r="F20" s="16"/>
      <c r="G20" s="16"/>
      <c r="H20" s="16"/>
      <c r="I20" s="16"/>
      <c r="J20" s="16"/>
      <c r="K20" s="16"/>
      <c r="L20" s="16"/>
      <c r="M20" s="16"/>
      <c r="N20" s="16"/>
      <c r="O20" s="16"/>
    </row>
    <row r="21" spans="1:15" x14ac:dyDescent="0.25">
      <c r="A21" s="13"/>
      <c r="B21" s="79" t="s">
        <v>25</v>
      </c>
      <c r="C21" s="79"/>
      <c r="D21" s="79"/>
      <c r="E21" s="79"/>
      <c r="F21" s="79"/>
      <c r="G21" s="79"/>
      <c r="H21" s="79"/>
      <c r="I21" s="79"/>
      <c r="J21" s="79"/>
      <c r="K21" s="79"/>
      <c r="L21" s="79"/>
      <c r="M21" s="79"/>
      <c r="N21" s="79"/>
      <c r="O21" s="13"/>
    </row>
    <row r="22" spans="1:15" ht="15" customHeight="1" x14ac:dyDescent="0.25">
      <c r="A22" s="13"/>
      <c r="B22" s="79"/>
      <c r="C22" s="79"/>
      <c r="D22" s="79"/>
      <c r="E22" s="79"/>
      <c r="F22" s="79"/>
      <c r="G22" s="79"/>
      <c r="H22" s="79"/>
      <c r="I22" s="79"/>
      <c r="J22" s="79"/>
      <c r="K22" s="79"/>
      <c r="L22" s="79"/>
      <c r="M22" s="79"/>
      <c r="N22" s="79"/>
      <c r="O22" s="13"/>
    </row>
    <row r="23" spans="1:15" ht="8.1" customHeight="1" x14ac:dyDescent="0.25">
      <c r="A23" s="16"/>
      <c r="B23" s="16"/>
      <c r="C23" s="16"/>
      <c r="D23" s="16"/>
      <c r="E23" s="16"/>
      <c r="F23" s="16"/>
      <c r="G23" s="16"/>
      <c r="H23" s="16"/>
      <c r="I23" s="16"/>
      <c r="J23" s="16"/>
      <c r="K23" s="16"/>
      <c r="L23" s="16"/>
      <c r="M23" s="16"/>
      <c r="N23" s="16"/>
      <c r="O23" s="16"/>
    </row>
    <row r="24" spans="1:15" ht="15" customHeight="1" x14ac:dyDescent="0.25">
      <c r="A24" s="16"/>
      <c r="B24" s="16"/>
      <c r="C24" s="17" t="s">
        <v>27</v>
      </c>
      <c r="D24" s="5">
        <v>350</v>
      </c>
      <c r="E24" s="16" t="s">
        <v>0</v>
      </c>
      <c r="F24" s="16"/>
      <c r="G24" s="16"/>
      <c r="H24" s="16"/>
      <c r="I24" s="16"/>
      <c r="J24" s="16"/>
      <c r="K24" s="17" t="s">
        <v>133</v>
      </c>
      <c r="L24" s="97">
        <f>Solubilidad!P9</f>
        <v>765.82799999999997</v>
      </c>
      <c r="M24" s="97"/>
      <c r="N24" s="16" t="s">
        <v>18</v>
      </c>
      <c r="O24" s="16"/>
    </row>
    <row r="25" spans="1:15" ht="17.25" x14ac:dyDescent="0.25">
      <c r="A25" s="16"/>
      <c r="B25" s="16"/>
      <c r="C25" s="17" t="s">
        <v>13</v>
      </c>
      <c r="D25" s="5">
        <v>15</v>
      </c>
      <c r="E25" s="16" t="s">
        <v>0</v>
      </c>
      <c r="F25" s="16"/>
      <c r="G25" s="16"/>
      <c r="H25" s="17" t="s">
        <v>138</v>
      </c>
      <c r="I25" s="16"/>
      <c r="J25" s="16"/>
      <c r="K25" s="17" t="s">
        <v>134</v>
      </c>
      <c r="L25" s="97">
        <f>D28/D24*1000</f>
        <v>148.02857142857144</v>
      </c>
      <c r="M25" s="97"/>
      <c r="N25" s="16" t="s">
        <v>18</v>
      </c>
      <c r="O25" s="16"/>
    </row>
    <row r="26" spans="1:15" ht="14.45" customHeight="1" x14ac:dyDescent="0.25">
      <c r="A26" s="16"/>
      <c r="B26" s="16"/>
      <c r="C26" s="17" t="s">
        <v>107</v>
      </c>
      <c r="D26" s="6">
        <f>D24/D25</f>
        <v>23.333333333333332</v>
      </c>
      <c r="E26" s="16" t="s">
        <v>108</v>
      </c>
      <c r="F26" s="16"/>
      <c r="G26" s="16"/>
      <c r="H26" s="17"/>
      <c r="I26" s="16"/>
      <c r="J26" s="16"/>
      <c r="K26" s="17" t="s">
        <v>16</v>
      </c>
      <c r="L26" s="92" t="str">
        <f>IF(L25&gt;L24,"Insoluble",IF(L25&gt;L24/2,"Poco soluble","Soluble"))</f>
        <v>Soluble</v>
      </c>
      <c r="M26" s="92"/>
      <c r="N26" s="92"/>
      <c r="O26" s="16"/>
    </row>
    <row r="27" spans="1:15" ht="14.45" customHeight="1" x14ac:dyDescent="0.25">
      <c r="A27" s="16"/>
      <c r="B27" s="83" t="s">
        <v>135</v>
      </c>
      <c r="C27" s="83"/>
      <c r="D27" s="83"/>
      <c r="E27" s="83"/>
      <c r="F27" s="16"/>
      <c r="G27" s="16"/>
      <c r="H27" s="16"/>
      <c r="I27" s="16"/>
      <c r="J27" s="16"/>
      <c r="K27" s="17" t="s">
        <v>133</v>
      </c>
      <c r="L27" s="97">
        <f>Solubilidad!P11</f>
        <v>720.55570637119104</v>
      </c>
      <c r="M27" s="97"/>
      <c r="N27" s="16" t="s">
        <v>18</v>
      </c>
      <c r="O27" s="16"/>
    </row>
    <row r="28" spans="1:15" ht="14.45" customHeight="1" x14ac:dyDescent="0.25">
      <c r="A28" s="16"/>
      <c r="B28" s="16"/>
      <c r="C28" s="17" t="s">
        <v>136</v>
      </c>
      <c r="D28" s="44">
        <f>ROUND(E18*D24/D25,2)</f>
        <v>51.81</v>
      </c>
      <c r="E28" s="16" t="s">
        <v>17</v>
      </c>
      <c r="F28" s="16"/>
      <c r="G28" s="16"/>
      <c r="H28" s="17" t="s">
        <v>139</v>
      </c>
      <c r="I28" s="16"/>
      <c r="J28" s="16"/>
      <c r="K28" s="17" t="s">
        <v>134</v>
      </c>
      <c r="L28" s="97">
        <f>D29/D24*1000</f>
        <v>109.57142857142857</v>
      </c>
      <c r="M28" s="97"/>
      <c r="N28" s="16" t="s">
        <v>18</v>
      </c>
      <c r="O28" s="16"/>
    </row>
    <row r="29" spans="1:15" ht="14.45" customHeight="1" x14ac:dyDescent="0.25">
      <c r="A29" s="16"/>
      <c r="B29" s="16"/>
      <c r="C29" s="17" t="s">
        <v>137</v>
      </c>
      <c r="D29" s="44">
        <f>ROUND(L18*D24/D25,2)</f>
        <v>38.35</v>
      </c>
      <c r="E29" s="16" t="s">
        <v>17</v>
      </c>
      <c r="F29" s="16"/>
      <c r="G29" s="16"/>
      <c r="H29" s="17"/>
      <c r="I29" s="16"/>
      <c r="J29" s="16"/>
      <c r="K29" s="17" t="s">
        <v>16</v>
      </c>
      <c r="L29" s="92" t="str">
        <f>IF(L28&gt;L27,"Insoluble",IF(L28&gt;L27/2,"Poco soluble","Soluble"))</f>
        <v>Soluble</v>
      </c>
      <c r="M29" s="92"/>
      <c r="N29" s="92"/>
      <c r="O29" s="16"/>
    </row>
    <row r="30" spans="1:15" ht="8.1" customHeight="1" x14ac:dyDescent="0.25">
      <c r="A30" s="16"/>
      <c r="B30" s="16"/>
      <c r="C30" s="16"/>
      <c r="D30" s="16"/>
      <c r="E30" s="16"/>
      <c r="F30" s="16"/>
      <c r="G30" s="16"/>
      <c r="H30" s="16"/>
      <c r="I30" s="16"/>
      <c r="J30" s="16"/>
      <c r="K30" s="16"/>
      <c r="L30" s="16"/>
      <c r="M30" s="16"/>
      <c r="N30" s="16"/>
      <c r="O30" s="16"/>
    </row>
    <row r="31" spans="1:15" x14ac:dyDescent="0.25">
      <c r="A31" s="34"/>
      <c r="B31" s="79" t="s">
        <v>86</v>
      </c>
      <c r="C31" s="79"/>
      <c r="D31" s="79"/>
      <c r="E31" s="79"/>
      <c r="F31" s="79"/>
      <c r="G31" s="79"/>
      <c r="H31" s="79"/>
      <c r="I31" s="79"/>
      <c r="J31" s="79"/>
      <c r="K31" s="79"/>
      <c r="L31" s="79"/>
      <c r="M31" s="79"/>
      <c r="N31" s="79"/>
      <c r="O31" s="40"/>
    </row>
    <row r="32" spans="1:15" x14ac:dyDescent="0.25">
      <c r="A32" s="34"/>
      <c r="B32" s="79"/>
      <c r="C32" s="79"/>
      <c r="D32" s="79"/>
      <c r="E32" s="79"/>
      <c r="F32" s="79"/>
      <c r="G32" s="79"/>
      <c r="H32" s="79"/>
      <c r="I32" s="79"/>
      <c r="J32" s="79"/>
      <c r="K32" s="79"/>
      <c r="L32" s="79"/>
      <c r="M32" s="79"/>
      <c r="N32" s="79"/>
      <c r="O32" s="40"/>
    </row>
    <row r="33" spans="1:15" ht="8.1" customHeight="1" x14ac:dyDescent="0.25">
      <c r="A33" s="16"/>
      <c r="B33" s="16"/>
      <c r="C33" s="16"/>
      <c r="D33" s="16"/>
      <c r="E33" s="16"/>
      <c r="F33" s="16"/>
      <c r="G33" s="16"/>
      <c r="H33" s="16"/>
      <c r="I33" s="16"/>
      <c r="J33" s="16"/>
      <c r="K33" s="16"/>
      <c r="L33" s="16"/>
      <c r="M33" s="16"/>
      <c r="N33" s="16"/>
      <c r="O33" s="16"/>
    </row>
    <row r="34" spans="1:15" x14ac:dyDescent="0.25">
      <c r="A34" s="36"/>
      <c r="B34" s="37" t="s">
        <v>95</v>
      </c>
      <c r="C34" s="36"/>
      <c r="D34" s="36"/>
      <c r="E34" s="36"/>
      <c r="F34" s="36"/>
      <c r="G34" s="36"/>
      <c r="H34" s="36"/>
      <c r="I34" s="36"/>
      <c r="J34" s="36"/>
      <c r="K34" s="36"/>
      <c r="L34" s="36"/>
      <c r="M34" s="36"/>
      <c r="N34" s="36"/>
      <c r="O34" s="36"/>
    </row>
    <row r="35" spans="1:15" ht="15" customHeight="1" x14ac:dyDescent="0.25">
      <c r="A35" s="36"/>
      <c r="B35" s="47" t="s">
        <v>96</v>
      </c>
      <c r="C35" s="37" t="s">
        <v>98</v>
      </c>
      <c r="D35" s="37"/>
      <c r="E35" s="38"/>
      <c r="F35" s="36"/>
      <c r="G35" s="36"/>
      <c r="H35" s="36"/>
      <c r="I35" s="36"/>
      <c r="J35" s="36"/>
      <c r="K35" s="36"/>
      <c r="L35" s="36"/>
      <c r="M35" s="36"/>
      <c r="N35" s="36"/>
      <c r="O35" s="36"/>
    </row>
    <row r="36" spans="1:15" x14ac:dyDescent="0.25">
      <c r="A36" s="36"/>
      <c r="B36" s="47" t="s">
        <v>97</v>
      </c>
      <c r="C36" s="37" t="s">
        <v>99</v>
      </c>
      <c r="D36" s="36"/>
      <c r="E36" s="36"/>
      <c r="F36" s="36"/>
      <c r="G36" s="36"/>
      <c r="H36" s="36"/>
      <c r="I36" s="36"/>
      <c r="J36" s="36"/>
      <c r="K36" s="36"/>
      <c r="L36" s="36"/>
      <c r="M36" s="36"/>
      <c r="N36" s="36"/>
      <c r="O36" s="36"/>
    </row>
    <row r="37" spans="1:15" x14ac:dyDescent="0.25">
      <c r="A37" s="36"/>
      <c r="B37" s="37" t="s">
        <v>140</v>
      </c>
      <c r="C37" s="37"/>
      <c r="D37" s="36"/>
      <c r="E37" s="36"/>
      <c r="F37" s="36"/>
      <c r="G37" s="36"/>
      <c r="H37" s="36"/>
      <c r="I37" s="36"/>
      <c r="J37" s="36"/>
      <c r="K37" s="36"/>
      <c r="L37" s="36"/>
      <c r="M37" s="36"/>
      <c r="N37" s="36"/>
      <c r="O37" s="36"/>
    </row>
    <row r="38" spans="1:15" x14ac:dyDescent="0.25">
      <c r="A38" s="36"/>
      <c r="B38" s="38" t="s">
        <v>132</v>
      </c>
      <c r="C38" s="37"/>
      <c r="D38" s="36"/>
      <c r="E38" s="36"/>
      <c r="F38" s="36"/>
      <c r="G38" s="36"/>
      <c r="H38" s="36"/>
      <c r="I38" s="36"/>
      <c r="J38" s="36"/>
      <c r="K38" s="36"/>
      <c r="L38" s="36"/>
      <c r="M38" s="36"/>
      <c r="N38" s="36"/>
      <c r="O38" s="36"/>
    </row>
    <row r="39" spans="1:15" x14ac:dyDescent="0.25">
      <c r="A39" s="36"/>
      <c r="B39" s="38" t="s">
        <v>141</v>
      </c>
      <c r="C39" s="37"/>
      <c r="D39" s="36"/>
      <c r="E39" s="36"/>
      <c r="F39" s="36"/>
      <c r="G39" s="36"/>
      <c r="H39" s="36"/>
      <c r="I39" s="36"/>
      <c r="J39" s="36"/>
      <c r="K39" s="36"/>
      <c r="L39" s="36"/>
      <c r="M39" s="36"/>
      <c r="N39" s="36"/>
      <c r="O39" s="36"/>
    </row>
    <row r="40" spans="1:15" x14ac:dyDescent="0.25">
      <c r="A40" s="16"/>
      <c r="B40" s="16"/>
      <c r="C40" s="16"/>
      <c r="D40" s="16"/>
      <c r="E40" s="16"/>
      <c r="F40" s="16"/>
      <c r="G40" s="16"/>
      <c r="H40" s="16"/>
      <c r="I40" s="16"/>
      <c r="J40" s="16"/>
      <c r="K40" s="16"/>
      <c r="L40" s="16"/>
      <c r="M40" s="16"/>
      <c r="N40" s="16"/>
      <c r="O40" s="16"/>
    </row>
    <row r="42" spans="1:15" ht="15" customHeight="1" x14ac:dyDescent="0.25"/>
  </sheetData>
  <sheetProtection algorithmName="SHA-512" hashValue="itLYpHq6bCqtClZoXLP2ATJTsBvF6IATRwnWvfGja+oSye0i+7BbzHypH5EU+moMSS/ViD5bqUrXofN0jj0mSg==" saltValue="YcYV9U976oBhlb9oHh39jw==" spinCount="100000" sheet="1" formatCells="0" formatColumns="0" formatRows="0" insertColumns="0" insertRows="0" insertHyperlinks="0" deleteColumns="0" deleteRows="0" sort="0" autoFilter="0" pivotTables="0"/>
  <mergeCells count="27">
    <mergeCell ref="B31:N32"/>
    <mergeCell ref="B21:N22"/>
    <mergeCell ref="E19:F19"/>
    <mergeCell ref="L16:M16"/>
    <mergeCell ref="L17:M17"/>
    <mergeCell ref="L18:M18"/>
    <mergeCell ref="L19:N19"/>
    <mergeCell ref="L25:M25"/>
    <mergeCell ref="L28:M28"/>
    <mergeCell ref="L24:M24"/>
    <mergeCell ref="L26:N26"/>
    <mergeCell ref="L27:M27"/>
    <mergeCell ref="L29:N29"/>
    <mergeCell ref="B27:E27"/>
    <mergeCell ref="I2:N2"/>
    <mergeCell ref="I3:N3"/>
    <mergeCell ref="B13:N14"/>
    <mergeCell ref="I4:N4"/>
    <mergeCell ref="B9:D9"/>
    <mergeCell ref="B10:D10"/>
    <mergeCell ref="B11:D11"/>
    <mergeCell ref="I5:J5"/>
    <mergeCell ref="K5:N5"/>
    <mergeCell ref="H10:L11"/>
    <mergeCell ref="I6:L7"/>
    <mergeCell ref="B6:F7"/>
    <mergeCell ref="M6:N7"/>
  </mergeCells>
  <conditionalFormatting sqref="L29">
    <cfRule type="cellIs" dxfId="8" priority="16" stopIfTrue="1" operator="equal">
      <formula>"Insoluble"</formula>
    </cfRule>
  </conditionalFormatting>
  <conditionalFormatting sqref="L19">
    <cfRule type="cellIs" dxfId="7" priority="17" operator="equal">
      <formula>"Poco soluble"</formula>
    </cfRule>
    <cfRule type="cellIs" dxfId="6" priority="18" operator="equal">
      <formula>"Insoluble"</formula>
    </cfRule>
  </conditionalFormatting>
  <conditionalFormatting sqref="E19">
    <cfRule type="cellIs" dxfId="5" priority="12" operator="equal">
      <formula>"Poco soluble"</formula>
    </cfRule>
    <cfRule type="cellIs" dxfId="4" priority="13" operator="equal">
      <formula>"Insoluble"</formula>
    </cfRule>
  </conditionalFormatting>
  <conditionalFormatting sqref="L26">
    <cfRule type="cellIs" dxfId="3" priority="4" stopIfTrue="1" operator="equal">
      <formula>"Insoluble"</formula>
    </cfRule>
  </conditionalFormatting>
  <conditionalFormatting sqref="I29:J29">
    <cfRule type="cellIs" dxfId="2" priority="3" stopIfTrue="1" operator="equal">
      <formula>"Insoluble, aumentar dosis"</formula>
    </cfRule>
  </conditionalFormatting>
  <conditionalFormatting sqref="L26:N26">
    <cfRule type="cellIs" dxfId="1" priority="2" operator="equal">
      <formula>"Poco soluble"</formula>
    </cfRule>
  </conditionalFormatting>
  <conditionalFormatting sqref="L29:N29">
    <cfRule type="cellIs" dxfId="0" priority="1" operator="equal">
      <formula>"Poco soluble"</formula>
    </cfRule>
  </conditionalFormatting>
  <pageMargins left="0.7" right="0.7" top="0.75" bottom="0.75" header="0.3" footer="0.3"/>
  <pageSetup paperSize="9"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FAE89-BE8E-45D8-B39C-1965D004E71F}">
  <dimension ref="A2:P11"/>
  <sheetViews>
    <sheetView workbookViewId="0">
      <selection activeCell="G21" sqref="G21"/>
    </sheetView>
  </sheetViews>
  <sheetFormatPr baseColWidth="10" defaultRowHeight="15" x14ac:dyDescent="0.25"/>
  <cols>
    <col min="1" max="1" width="14" customWidth="1"/>
    <col min="2" max="13" width="9.85546875" customWidth="1"/>
    <col min="14" max="14" width="4.7109375" customWidth="1"/>
    <col min="15" max="15" width="15.140625" customWidth="1"/>
    <col min="16" max="16" width="13.7109375" customWidth="1"/>
  </cols>
  <sheetData>
    <row r="2" spans="1:16" ht="22.5" customHeight="1" thickBot="1" x14ac:dyDescent="0.3">
      <c r="A2" s="103" t="s">
        <v>111</v>
      </c>
      <c r="B2" s="104"/>
      <c r="C2" s="105" t="s">
        <v>120</v>
      </c>
      <c r="D2" s="106"/>
    </row>
    <row r="3" spans="1:16" ht="15.75" thickBot="1" x14ac:dyDescent="0.3">
      <c r="O3" s="57" t="s">
        <v>122</v>
      </c>
      <c r="P3" s="57">
        <f>NPK!Q7</f>
        <v>20</v>
      </c>
    </row>
    <row r="4" spans="1:16" ht="15.75" thickBot="1" x14ac:dyDescent="0.3">
      <c r="A4" s="55" t="s">
        <v>113</v>
      </c>
      <c r="B4" s="107">
        <v>0</v>
      </c>
      <c r="C4" s="107">
        <v>10</v>
      </c>
      <c r="D4" s="107">
        <v>20</v>
      </c>
      <c r="E4" s="107">
        <v>25</v>
      </c>
      <c r="F4" s="107">
        <v>30</v>
      </c>
      <c r="G4" s="107">
        <v>40</v>
      </c>
      <c r="H4" s="107">
        <v>50</v>
      </c>
      <c r="I4" s="107">
        <v>60</v>
      </c>
      <c r="J4" s="107">
        <v>70</v>
      </c>
      <c r="K4" s="107">
        <v>80</v>
      </c>
      <c r="L4" s="107">
        <v>90</v>
      </c>
      <c r="M4" s="107">
        <v>100</v>
      </c>
      <c r="O4" s="58" t="s">
        <v>120</v>
      </c>
      <c r="P4" s="72" t="s">
        <v>121</v>
      </c>
    </row>
    <row r="5" spans="1:16" ht="15.75" thickBot="1" x14ac:dyDescent="0.3">
      <c r="A5" s="53" t="s">
        <v>112</v>
      </c>
      <c r="B5" s="54">
        <v>13.3</v>
      </c>
      <c r="C5" s="54">
        <v>20.9</v>
      </c>
      <c r="D5" s="54">
        <v>31.6</v>
      </c>
      <c r="E5" s="54">
        <v>38.299999999999997</v>
      </c>
      <c r="F5" s="54">
        <v>45.8</v>
      </c>
      <c r="G5" s="54">
        <v>63.9</v>
      </c>
      <c r="H5" s="54">
        <v>85.5</v>
      </c>
      <c r="I5" s="54">
        <v>110</v>
      </c>
      <c r="J5" s="54">
        <v>138</v>
      </c>
      <c r="K5" s="54">
        <v>169</v>
      </c>
      <c r="L5" s="54">
        <v>202</v>
      </c>
      <c r="M5" s="54">
        <v>246</v>
      </c>
      <c r="O5" s="108">
        <f>1.7521*(P3/10)^2 + 5.4837*(P3/10) + 13.622</f>
        <v>31.597799999999999</v>
      </c>
      <c r="P5" s="108">
        <f>O5*10</f>
        <v>315.97800000000001</v>
      </c>
    </row>
    <row r="6" spans="1:16" ht="15.75" thickBot="1" x14ac:dyDescent="0.3">
      <c r="A6" s="53" t="s">
        <v>114</v>
      </c>
      <c r="B6" s="54">
        <v>14.8</v>
      </c>
      <c r="C6" s="54">
        <v>18.3</v>
      </c>
      <c r="D6" s="54">
        <v>22.6</v>
      </c>
      <c r="E6" s="54"/>
      <c r="F6" s="54">
        <v>28</v>
      </c>
      <c r="G6" s="54">
        <v>35.5</v>
      </c>
      <c r="H6" s="54">
        <v>41</v>
      </c>
      <c r="I6" s="54">
        <v>50.2</v>
      </c>
      <c r="J6" s="54"/>
      <c r="K6" s="54">
        <v>70.400000000000006</v>
      </c>
      <c r="L6" s="54">
        <v>83.5</v>
      </c>
      <c r="M6" s="54"/>
      <c r="O6" s="108">
        <f>0.5447*(P3/10)^2 + 2.6313*P3/10 + 15.084</f>
        <v>22.525399999999998</v>
      </c>
      <c r="P6" s="108">
        <f t="shared" ref="P6:P11" si="0">O6*10</f>
        <v>225.25399999999996</v>
      </c>
    </row>
    <row r="7" spans="1:16" ht="15.75" thickBot="1" x14ac:dyDescent="0.3">
      <c r="A7" s="53" t="s">
        <v>115</v>
      </c>
      <c r="B7" s="54">
        <v>7.4</v>
      </c>
      <c r="C7" s="54">
        <v>9.3000000000000007</v>
      </c>
      <c r="D7" s="54">
        <v>11.1</v>
      </c>
      <c r="E7" s="54">
        <v>12</v>
      </c>
      <c r="F7" s="54">
        <v>13</v>
      </c>
      <c r="G7" s="54">
        <v>14.8</v>
      </c>
      <c r="H7" s="54"/>
      <c r="I7" s="54">
        <v>18.2</v>
      </c>
      <c r="J7" s="54"/>
      <c r="K7" s="54">
        <v>21.4</v>
      </c>
      <c r="L7" s="54">
        <v>22.9</v>
      </c>
      <c r="M7" s="54">
        <v>24.1</v>
      </c>
      <c r="O7" s="108">
        <f>-0.0293*(P3/10)^2 + 1.9843*P3/10 + 7.3222</f>
        <v>11.1736</v>
      </c>
      <c r="P7" s="108">
        <f t="shared" si="0"/>
        <v>111.736</v>
      </c>
    </row>
    <row r="8" spans="1:16" ht="15.75" thickBot="1" x14ac:dyDescent="0.3">
      <c r="A8" s="53" t="s">
        <v>116</v>
      </c>
      <c r="B8" s="54">
        <v>22.5</v>
      </c>
      <c r="C8" s="54">
        <v>27.4</v>
      </c>
      <c r="D8" s="54">
        <v>33.700000000000003</v>
      </c>
      <c r="E8" s="54"/>
      <c r="F8" s="54">
        <v>39.9</v>
      </c>
      <c r="G8" s="54">
        <v>47.5</v>
      </c>
      <c r="H8" s="54"/>
      <c r="I8" s="54">
        <v>65.599999999999994</v>
      </c>
      <c r="J8" s="54"/>
      <c r="K8" s="54"/>
      <c r="L8" s="54"/>
      <c r="M8" s="54"/>
      <c r="O8" s="108">
        <f>0.444*(P3/10)^2 + 4.5*P3/10 + 22.549</f>
        <v>33.325000000000003</v>
      </c>
      <c r="P8" s="108">
        <f t="shared" si="0"/>
        <v>333.25</v>
      </c>
    </row>
    <row r="9" spans="1:16" ht="15.75" thickBot="1" x14ac:dyDescent="0.3">
      <c r="A9" s="53" t="s">
        <v>117</v>
      </c>
      <c r="B9" s="54">
        <v>59.5</v>
      </c>
      <c r="C9" s="54">
        <v>64.7</v>
      </c>
      <c r="D9" s="54">
        <v>74.5</v>
      </c>
      <c r="E9" s="54"/>
      <c r="F9" s="54">
        <v>100</v>
      </c>
      <c r="G9" s="54">
        <v>128</v>
      </c>
      <c r="H9" s="54"/>
      <c r="I9" s="54">
        <v>137</v>
      </c>
      <c r="J9" s="54"/>
      <c r="K9" s="54">
        <v>147</v>
      </c>
      <c r="L9" s="54">
        <v>154</v>
      </c>
      <c r="M9" s="54">
        <v>159</v>
      </c>
      <c r="O9" s="108">
        <f>IF(P3&lt;=40,4.3786*(P3/10)^2 - 0.2843*P3/10 + 59.637,0.1754*(P3/10)^2 + 2.7724*P3/10 + 114.07)</f>
        <v>76.582799999999992</v>
      </c>
      <c r="P9" s="108">
        <f t="shared" si="0"/>
        <v>765.82799999999997</v>
      </c>
    </row>
    <row r="10" spans="1:16" ht="15.75" thickBot="1" x14ac:dyDescent="0.3">
      <c r="A10" s="53" t="s">
        <v>118</v>
      </c>
      <c r="B10" s="54">
        <v>25.5</v>
      </c>
      <c r="C10" s="54">
        <v>30.4</v>
      </c>
      <c r="D10" s="54">
        <v>35.1</v>
      </c>
      <c r="E10" s="54"/>
      <c r="F10" s="54">
        <v>39.700000000000003</v>
      </c>
      <c r="G10" s="54">
        <v>44.7</v>
      </c>
      <c r="H10" s="54">
        <v>50.4</v>
      </c>
      <c r="I10" s="54">
        <v>54.8</v>
      </c>
      <c r="J10" s="54">
        <v>59.2</v>
      </c>
      <c r="K10" s="54">
        <v>54.8</v>
      </c>
      <c r="L10" s="54">
        <v>52.9</v>
      </c>
      <c r="M10" s="54">
        <v>50.2</v>
      </c>
      <c r="O10" s="108"/>
      <c r="P10" s="108"/>
    </row>
    <row r="11" spans="1:16" ht="15.75" thickBot="1" x14ac:dyDescent="0.3">
      <c r="A11" s="53" t="s">
        <v>119</v>
      </c>
      <c r="B11" s="56">
        <f>B10*246.47/120.366</f>
        <v>52.215617367030553</v>
      </c>
      <c r="C11" s="56">
        <f t="shared" ref="C11:M11" si="1">C10*246.47/120.366</f>
        <v>62.2492065865776</v>
      </c>
      <c r="D11" s="56">
        <f t="shared" si="1"/>
        <v>71.873261552265589</v>
      </c>
      <c r="E11" s="56"/>
      <c r="F11" s="56">
        <f t="shared" si="1"/>
        <v>81.292549391024053</v>
      </c>
      <c r="G11" s="56">
        <f t="shared" si="1"/>
        <v>91.530905737500632</v>
      </c>
      <c r="H11" s="56">
        <f t="shared" si="1"/>
        <v>103.20263197248393</v>
      </c>
      <c r="I11" s="56">
        <f t="shared" si="1"/>
        <v>112.2123855573833</v>
      </c>
      <c r="J11" s="56">
        <f t="shared" si="1"/>
        <v>121.22213914228271</v>
      </c>
      <c r="K11" s="56">
        <f t="shared" si="1"/>
        <v>112.2123855573833</v>
      </c>
      <c r="L11" s="56">
        <f t="shared" si="1"/>
        <v>108.32181014572221</v>
      </c>
      <c r="M11" s="56">
        <f t="shared" si="1"/>
        <v>102.79309771862486</v>
      </c>
      <c r="O11" s="108">
        <f>IF(P3&lt;=70, -0.0049*(P3/19)^2 + 9.9995*P3/10 + 52.062,0.8703*(P3/10)^2 - 20.712*P3/10 + 223.23)</f>
        <v>72.055570637119104</v>
      </c>
      <c r="P11" s="108">
        <f t="shared" si="0"/>
        <v>720.55570637119104</v>
      </c>
    </row>
  </sheetData>
  <mergeCells count="2">
    <mergeCell ref="A2:B2"/>
    <mergeCell ref="C2:D2"/>
  </mergeCells>
  <hyperlinks>
    <hyperlink ref="A5" r:id="rId1" tooltip="Potassium nitrate" display="https://en.wikipedia.org/wiki/Potassium_nitrate" xr:uid="{0F83E808-7156-4D75-84BC-62F637484E2F}"/>
    <hyperlink ref="A6" r:id="rId2" tooltip="Potassium dihydrogen phosphate" display="https://en.wikipedia.org/wiki/Potassium_dihydrogen_phosphate" xr:uid="{8AAF0DF1-5B4B-4BAE-BDA7-D144C5F24DF7}"/>
    <hyperlink ref="A7" r:id="rId3" tooltip="Potassium sulfate" display="https://en.wikipedia.org/wiki/Potassium_sulfate" xr:uid="{33507678-12AB-4CE0-A783-E952602459D2}"/>
    <hyperlink ref="A8" r:id="rId4" tooltip="Potassium hydrogen carbonate" display="https://en.wikipedia.org/wiki/Potassium_hydrogen_carbonate" xr:uid="{AAF13EA4-A79F-4597-8982-8417AAAAC3EE}"/>
    <hyperlink ref="A9" r:id="rId5" tooltip="Calcium chloride" display="https://en.wikipedia.org/wiki/Calcium_chloride" xr:uid="{2A2DCB4F-4C1F-46C1-B70F-77B2D04E98FB}"/>
    <hyperlink ref="A10" r:id="rId6" tooltip="Magnesium sulfate" display="https://en.wikipedia.org/wiki/Magnesium_sulfate" xr:uid="{982B6C19-0724-4BB0-B183-0C6FD389F23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Notas</vt:lpstr>
      <vt:lpstr>NPK</vt:lpstr>
      <vt:lpstr>kH</vt:lpstr>
      <vt:lpstr>gH</vt:lpstr>
      <vt:lpstr>Solubilidad</vt:lpstr>
    </vt:vector>
  </TitlesOfParts>
  <Company>AcuariofiliaMadrid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Carlos70</dc:creator>
  <cp:lastModifiedBy>Carlos70</cp:lastModifiedBy>
  <dcterms:created xsi:type="dcterms:W3CDTF">2019-01-08T15:12:29Z</dcterms:created>
  <dcterms:modified xsi:type="dcterms:W3CDTF">2022-03-05T17:08:12Z</dcterms:modified>
</cp:coreProperties>
</file>